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70" windowWidth="17880" windowHeight="9465"/>
  </bookViews>
  <sheets>
    <sheet name="Target List" sheetId="1" r:id="rId1"/>
  </sheets>
  <calcPr calcId="125725"/>
</workbook>
</file>

<file path=xl/calcChain.xml><?xml version="1.0" encoding="utf-8"?>
<calcChain xmlns="http://schemas.openxmlformats.org/spreadsheetml/2006/main">
  <c r="L36" i="1"/>
  <c r="K36"/>
  <c r="F36"/>
  <c r="X17"/>
  <c r="W17"/>
  <c r="Q17"/>
  <c r="L17"/>
  <c r="K17"/>
  <c r="F17"/>
  <c r="G17" s="1"/>
  <c r="I17" s="1"/>
  <c r="G164"/>
  <c r="G165" s="1"/>
  <c r="M162"/>
  <c r="I162"/>
  <c r="K162" s="1"/>
  <c r="K164" s="1"/>
  <c r="K165" s="1"/>
  <c r="M161"/>
  <c r="I161"/>
  <c r="K161" s="1"/>
  <c r="M160"/>
  <c r="I160"/>
  <c r="K160" s="1"/>
  <c r="M159"/>
  <c r="I159"/>
  <c r="K159" s="1"/>
  <c r="N156"/>
  <c r="N157" s="1"/>
  <c r="M123"/>
  <c r="O123" s="1"/>
  <c r="G123"/>
  <c r="I123" s="1"/>
  <c r="AA122"/>
  <c r="Z122"/>
  <c r="T122"/>
  <c r="S122"/>
  <c r="U122" s="1"/>
  <c r="N122"/>
  <c r="AD122" s="1"/>
  <c r="M122"/>
  <c r="O122" s="1"/>
  <c r="G122"/>
  <c r="I122" s="1"/>
  <c r="N120"/>
  <c r="M120"/>
  <c r="O120" s="1"/>
  <c r="G120"/>
  <c r="I120" s="1"/>
  <c r="AA119"/>
  <c r="Z119"/>
  <c r="AD120" s="1"/>
  <c r="T119"/>
  <c r="S119"/>
  <c r="U119" s="1"/>
  <c r="M119"/>
  <c r="O119" s="1"/>
  <c r="G119"/>
  <c r="I119" s="1"/>
  <c r="M117"/>
  <c r="O117" s="1"/>
  <c r="G117"/>
  <c r="I117" s="1"/>
  <c r="AA116"/>
  <c r="Z116"/>
  <c r="T116"/>
  <c r="S116"/>
  <c r="U116" s="1"/>
  <c r="N116"/>
  <c r="AD116" s="1"/>
  <c r="M116"/>
  <c r="O116" s="1"/>
  <c r="G116"/>
  <c r="I116" s="1"/>
  <c r="N114"/>
  <c r="M114"/>
  <c r="O114" s="1"/>
  <c r="G114"/>
  <c r="I114" s="1"/>
  <c r="AA113"/>
  <c r="Z113"/>
  <c r="AD114" s="1"/>
  <c r="T113"/>
  <c r="S113"/>
  <c r="U113" s="1"/>
  <c r="M113"/>
  <c r="O113" s="1"/>
  <c r="G113"/>
  <c r="I113" s="1"/>
  <c r="M111"/>
  <c r="O111" s="1"/>
  <c r="G111"/>
  <c r="I111" s="1"/>
  <c r="AA110"/>
  <c r="Z110"/>
  <c r="T110"/>
  <c r="S110"/>
  <c r="U110" s="1"/>
  <c r="N110"/>
  <c r="AD110" s="1"/>
  <c r="M110"/>
  <c r="O110" s="1"/>
  <c r="G110"/>
  <c r="I110" s="1"/>
  <c r="F110"/>
  <c r="M108"/>
  <c r="O108" s="1"/>
  <c r="G108"/>
  <c r="I108" s="1"/>
  <c r="AA107"/>
  <c r="Z107"/>
  <c r="T107"/>
  <c r="S107"/>
  <c r="U107" s="1"/>
  <c r="R127" s="1"/>
  <c r="N107"/>
  <c r="AD107" s="1"/>
  <c r="M107"/>
  <c r="O107" s="1"/>
  <c r="G107"/>
  <c r="I107" s="1"/>
  <c r="F107"/>
  <c r="M104"/>
  <c r="O104" s="1"/>
  <c r="G104"/>
  <c r="I104" s="1"/>
  <c r="AA103"/>
  <c r="Z103"/>
  <c r="AB103" s="1"/>
  <c r="N103"/>
  <c r="M103"/>
  <c r="O103" s="1"/>
  <c r="G103"/>
  <c r="I103" s="1"/>
  <c r="F103"/>
  <c r="M101"/>
  <c r="O101" s="1"/>
  <c r="G101"/>
  <c r="I101" s="1"/>
  <c r="AA100"/>
  <c r="Z100"/>
  <c r="AB100" s="1"/>
  <c r="N100"/>
  <c r="M100"/>
  <c r="O100" s="1"/>
  <c r="G100"/>
  <c r="I100" s="1"/>
  <c r="F100"/>
  <c r="M97"/>
  <c r="O97" s="1"/>
  <c r="G97"/>
  <c r="I97" s="1"/>
  <c r="AA96"/>
  <c r="Z96"/>
  <c r="M96"/>
  <c r="O96" s="1"/>
  <c r="G96"/>
  <c r="I96" s="1"/>
  <c r="M94"/>
  <c r="O94" s="1"/>
  <c r="G94"/>
  <c r="I94" s="1"/>
  <c r="AA93"/>
  <c r="Z93"/>
  <c r="M93"/>
  <c r="O93" s="1"/>
  <c r="G93"/>
  <c r="I93" s="1"/>
  <c r="M91"/>
  <c r="O91" s="1"/>
  <c r="G91"/>
  <c r="I91" s="1"/>
  <c r="AA90"/>
  <c r="Z90"/>
  <c r="M90"/>
  <c r="O90" s="1"/>
  <c r="G90"/>
  <c r="I90" s="1"/>
  <c r="M88"/>
  <c r="O88" s="1"/>
  <c r="G88"/>
  <c r="I88" s="1"/>
  <c r="AA87"/>
  <c r="Z87"/>
  <c r="M87"/>
  <c r="O87" s="1"/>
  <c r="G87"/>
  <c r="I87" s="1"/>
  <c r="M85"/>
  <c r="O85" s="1"/>
  <c r="G85"/>
  <c r="I85" s="1"/>
  <c r="AA84"/>
  <c r="Z84"/>
  <c r="M84"/>
  <c r="O84" s="1"/>
  <c r="G84"/>
  <c r="I84" s="1"/>
  <c r="N83"/>
  <c r="M83"/>
  <c r="I83"/>
  <c r="G83"/>
  <c r="M81"/>
  <c r="O81" s="1"/>
  <c r="G81"/>
  <c r="I81" s="1"/>
  <c r="AA80"/>
  <c r="Z80"/>
  <c r="M80"/>
  <c r="O80" s="1"/>
  <c r="G80"/>
  <c r="I80" s="1"/>
  <c r="M78"/>
  <c r="O78" s="1"/>
  <c r="G78"/>
  <c r="I78" s="1"/>
  <c r="AA77"/>
  <c r="Z77"/>
  <c r="M77"/>
  <c r="O77" s="1"/>
  <c r="G77"/>
  <c r="I77" s="1"/>
  <c r="M75"/>
  <c r="O75" s="1"/>
  <c r="G75"/>
  <c r="I75" s="1"/>
  <c r="AA74"/>
  <c r="Z74"/>
  <c r="M74"/>
  <c r="O74" s="1"/>
  <c r="G74"/>
  <c r="I74" s="1"/>
  <c r="M72"/>
  <c r="O72" s="1"/>
  <c r="G72"/>
  <c r="I72" s="1"/>
  <c r="AA71"/>
  <c r="Z71"/>
  <c r="M71"/>
  <c r="O71" s="1"/>
  <c r="G71"/>
  <c r="I71" s="1"/>
  <c r="M69"/>
  <c r="O69" s="1"/>
  <c r="G69"/>
  <c r="I69" s="1"/>
  <c r="AA68"/>
  <c r="Z68"/>
  <c r="M68"/>
  <c r="O68" s="1"/>
  <c r="G68"/>
  <c r="I68" s="1"/>
  <c r="I67"/>
  <c r="I66"/>
  <c r="N65"/>
  <c r="M65"/>
  <c r="I65"/>
  <c r="G65"/>
  <c r="N64"/>
  <c r="M64"/>
  <c r="I64"/>
  <c r="G64"/>
  <c r="N63"/>
  <c r="M63"/>
  <c r="I63"/>
  <c r="G63"/>
  <c r="N62"/>
  <c r="M62"/>
  <c r="I62"/>
  <c r="G62"/>
  <c r="N61"/>
  <c r="M61"/>
  <c r="I61"/>
  <c r="G61"/>
  <c r="N60"/>
  <c r="M60"/>
  <c r="I60"/>
  <c r="G60"/>
  <c r="I57"/>
  <c r="G57"/>
  <c r="Z56"/>
  <c r="AD56" s="1"/>
  <c r="AG56" s="1"/>
  <c r="N56"/>
  <c r="M56"/>
  <c r="O56" s="1"/>
  <c r="G56"/>
  <c r="I56" s="1"/>
  <c r="F56"/>
  <c r="M54"/>
  <c r="O54" s="1"/>
  <c r="G54"/>
  <c r="I54" s="1"/>
  <c r="Z53"/>
  <c r="AD53" s="1"/>
  <c r="AG53" s="1"/>
  <c r="N53"/>
  <c r="M53"/>
  <c r="O53" s="1"/>
  <c r="G53"/>
  <c r="I53" s="1"/>
  <c r="F53"/>
  <c r="N52"/>
  <c r="M52"/>
  <c r="I52"/>
  <c r="G52"/>
  <c r="M50"/>
  <c r="O50" s="1"/>
  <c r="G50"/>
  <c r="I50" s="1"/>
  <c r="AA49"/>
  <c r="Z49"/>
  <c r="T49"/>
  <c r="S49"/>
  <c r="U49" s="1"/>
  <c r="N49"/>
  <c r="AD49" s="1"/>
  <c r="M49"/>
  <c r="O49" s="1"/>
  <c r="G49"/>
  <c r="I49" s="1"/>
  <c r="N47"/>
  <c r="M47"/>
  <c r="O47" s="1"/>
  <c r="G47"/>
  <c r="I47" s="1"/>
  <c r="AA46"/>
  <c r="Z46"/>
  <c r="AD47" s="1"/>
  <c r="T46"/>
  <c r="S46"/>
  <c r="U46" s="1"/>
  <c r="M46"/>
  <c r="O46" s="1"/>
  <c r="G46"/>
  <c r="I46" s="1"/>
  <c r="M44"/>
  <c r="O44" s="1"/>
  <c r="G44"/>
  <c r="I44" s="1"/>
  <c r="AA43"/>
  <c r="Z43"/>
  <c r="T43"/>
  <c r="S43"/>
  <c r="U43" s="1"/>
  <c r="N43"/>
  <c r="AD43" s="1"/>
  <c r="M43"/>
  <c r="O43" s="1"/>
  <c r="G43"/>
  <c r="I43" s="1"/>
  <c r="F43"/>
  <c r="M41"/>
  <c r="O41" s="1"/>
  <c r="G41"/>
  <c r="I41" s="1"/>
  <c r="AA40"/>
  <c r="Z40"/>
  <c r="AB40" s="1"/>
  <c r="N40"/>
  <c r="M40"/>
  <c r="O40" s="1"/>
  <c r="F40"/>
  <c r="G40" s="1"/>
  <c r="I40" s="1"/>
  <c r="M39"/>
  <c r="N39" s="1"/>
  <c r="G39"/>
  <c r="I39" s="1"/>
  <c r="X36"/>
  <c r="W36"/>
  <c r="Z36" s="1"/>
  <c r="G36"/>
  <c r="I36" s="1"/>
  <c r="M34"/>
  <c r="O34" s="1"/>
  <c r="G34"/>
  <c r="I34" s="1"/>
  <c r="Z33"/>
  <c r="AD33" s="1"/>
  <c r="AG33" s="1"/>
  <c r="N33"/>
  <c r="M33"/>
  <c r="O33" s="1"/>
  <c r="G33"/>
  <c r="I33" s="1"/>
  <c r="F33"/>
  <c r="M31"/>
  <c r="O31" s="1"/>
  <c r="G31"/>
  <c r="I31" s="1"/>
  <c r="Z30"/>
  <c r="AD30" s="1"/>
  <c r="AG30" s="1"/>
  <c r="N30"/>
  <c r="M30"/>
  <c r="O30" s="1"/>
  <c r="G30"/>
  <c r="I30" s="1"/>
  <c r="F30"/>
  <c r="M28"/>
  <c r="O28" s="1"/>
  <c r="G28"/>
  <c r="I28" s="1"/>
  <c r="AA27"/>
  <c r="Z27"/>
  <c r="M27"/>
  <c r="O27" s="1"/>
  <c r="G27"/>
  <c r="I27" s="1"/>
  <c r="M24"/>
  <c r="N24" s="1"/>
  <c r="G24"/>
  <c r="I24" s="1"/>
  <c r="M23"/>
  <c r="N23" s="1"/>
  <c r="G23"/>
  <c r="I23" s="1"/>
  <c r="N21"/>
  <c r="M21"/>
  <c r="O21" s="1"/>
  <c r="G21"/>
  <c r="I21" s="1"/>
  <c r="AB20"/>
  <c r="Z20"/>
  <c r="AD21" s="1"/>
  <c r="AG21" s="1"/>
  <c r="M20"/>
  <c r="O20" s="1"/>
  <c r="F20"/>
  <c r="G20" s="1"/>
  <c r="I20" s="1"/>
  <c r="Z17"/>
  <c r="N15"/>
  <c r="M15"/>
  <c r="O15" s="1"/>
  <c r="G15"/>
  <c r="I15" s="1"/>
  <c r="AA14"/>
  <c r="Z14"/>
  <c r="AD15" s="1"/>
  <c r="T14"/>
  <c r="S14"/>
  <c r="U14" s="1"/>
  <c r="M14"/>
  <c r="O14" s="1"/>
  <c r="G14"/>
  <c r="I14" s="1"/>
  <c r="M12"/>
  <c r="O12" s="1"/>
  <c r="G12"/>
  <c r="I12" s="1"/>
  <c r="AA11"/>
  <c r="Z11"/>
  <c r="N11"/>
  <c r="M11"/>
  <c r="O11" s="1"/>
  <c r="G11"/>
  <c r="I11" s="1"/>
  <c r="N9"/>
  <c r="M9"/>
  <c r="O9" s="1"/>
  <c r="G9"/>
  <c r="I9" s="1"/>
  <c r="AA8"/>
  <c r="Z8"/>
  <c r="AD9" s="1"/>
  <c r="T8"/>
  <c r="S8"/>
  <c r="U8" s="1"/>
  <c r="T23" s="1"/>
  <c r="M8"/>
  <c r="O8" s="1"/>
  <c r="F8"/>
  <c r="G8" s="1"/>
  <c r="I6"/>
  <c r="F5"/>
  <c r="G4"/>
  <c r="H8" l="1"/>
  <c r="I8"/>
  <c r="AH9"/>
  <c r="AG9"/>
  <c r="H123"/>
  <c r="H119"/>
  <c r="H117"/>
  <c r="H113"/>
  <c r="H111"/>
  <c r="H108"/>
  <c r="H104"/>
  <c r="H101"/>
  <c r="H97"/>
  <c r="H96"/>
  <c r="H94"/>
  <c r="H93"/>
  <c r="H91"/>
  <c r="H90"/>
  <c r="H88"/>
  <c r="H87"/>
  <c r="H85"/>
  <c r="H84"/>
  <c r="H81"/>
  <c r="H80"/>
  <c r="H78"/>
  <c r="H77"/>
  <c r="H75"/>
  <c r="H74"/>
  <c r="H72"/>
  <c r="H71"/>
  <c r="H69"/>
  <c r="H68"/>
  <c r="H54"/>
  <c r="H50"/>
  <c r="H46"/>
  <c r="H44"/>
  <c r="H41"/>
  <c r="H34"/>
  <c r="H31"/>
  <c r="H28"/>
  <c r="H27"/>
  <c r="H20"/>
  <c r="H17"/>
  <c r="H14"/>
  <c r="H122"/>
  <c r="H120"/>
  <c r="H116"/>
  <c r="H114"/>
  <c r="H110"/>
  <c r="H107"/>
  <c r="H103"/>
  <c r="H100"/>
  <c r="H56"/>
  <c r="H53"/>
  <c r="H49"/>
  <c r="H47"/>
  <c r="H43"/>
  <c r="H36"/>
  <c r="H33"/>
  <c r="H30"/>
  <c r="H21"/>
  <c r="H15"/>
  <c r="AH15"/>
  <c r="AG15"/>
  <c r="AB36"/>
  <c r="AG43"/>
  <c r="AI43" s="1"/>
  <c r="AH43"/>
  <c r="AG49"/>
  <c r="AI49" s="1"/>
  <c r="AH49"/>
  <c r="AG107"/>
  <c r="AI107" s="1"/>
  <c r="AH107"/>
  <c r="AG110"/>
  <c r="AI110" s="1"/>
  <c r="AH110"/>
  <c r="AG116"/>
  <c r="AI116" s="1"/>
  <c r="AH116"/>
  <c r="AG122"/>
  <c r="AI122" s="1"/>
  <c r="AH122"/>
  <c r="N8"/>
  <c r="H9"/>
  <c r="H11"/>
  <c r="H12"/>
  <c r="AB11"/>
  <c r="AB17"/>
  <c r="AH47"/>
  <c r="AG47"/>
  <c r="AH114"/>
  <c r="AG114"/>
  <c r="AH120"/>
  <c r="AG120"/>
  <c r="N162"/>
  <c r="N161"/>
  <c r="N160"/>
  <c r="N159"/>
  <c r="AB8"/>
  <c r="AD11"/>
  <c r="AG11" s="1"/>
  <c r="N12"/>
  <c r="AD12" s="1"/>
  <c r="AG12" s="1"/>
  <c r="N14"/>
  <c r="AA17"/>
  <c r="N20"/>
  <c r="AD20"/>
  <c r="AG20" s="1"/>
  <c r="N27"/>
  <c r="AB27"/>
  <c r="N28"/>
  <c r="AD28" s="1"/>
  <c r="AG28" s="1"/>
  <c r="AB30"/>
  <c r="AE30" s="1"/>
  <c r="N31"/>
  <c r="AD31"/>
  <c r="AG31" s="1"/>
  <c r="AB33"/>
  <c r="AE33" s="1"/>
  <c r="N34"/>
  <c r="AD34" s="1"/>
  <c r="AG34" s="1"/>
  <c r="M36"/>
  <c r="N36" s="1"/>
  <c r="AA36"/>
  <c r="N41"/>
  <c r="AB43"/>
  <c r="AE43" s="1"/>
  <c r="N44"/>
  <c r="AD44" s="1"/>
  <c r="N46"/>
  <c r="AB49"/>
  <c r="AE49" s="1"/>
  <c r="N50"/>
  <c r="AD50" s="1"/>
  <c r="AB53"/>
  <c r="AE53" s="1"/>
  <c r="N54"/>
  <c r="AD54" s="1"/>
  <c r="AG54" s="1"/>
  <c r="AB56"/>
  <c r="AE56" s="1"/>
  <c r="N68"/>
  <c r="AB68"/>
  <c r="N69"/>
  <c r="AD69" s="1"/>
  <c r="AG69" s="1"/>
  <c r="N71"/>
  <c r="AB71"/>
  <c r="N72"/>
  <c r="AD72" s="1"/>
  <c r="AG72" s="1"/>
  <c r="N74"/>
  <c r="AB74"/>
  <c r="N75"/>
  <c r="AD75" s="1"/>
  <c r="AG75" s="1"/>
  <c r="N77"/>
  <c r="AB77"/>
  <c r="N78"/>
  <c r="AD78" s="1"/>
  <c r="AG78" s="1"/>
  <c r="N80"/>
  <c r="AB80"/>
  <c r="N81"/>
  <c r="AD81" s="1"/>
  <c r="AG81" s="1"/>
  <c r="N84"/>
  <c r="AB84"/>
  <c r="N85"/>
  <c r="AD85" s="1"/>
  <c r="AG85" s="1"/>
  <c r="N87"/>
  <c r="AB87"/>
  <c r="N88"/>
  <c r="AD88" s="1"/>
  <c r="AG88" s="1"/>
  <c r="N90"/>
  <c r="AB90"/>
  <c r="N91"/>
  <c r="AD91" s="1"/>
  <c r="AG91" s="1"/>
  <c r="N93"/>
  <c r="AB93"/>
  <c r="N94"/>
  <c r="AD94" s="1"/>
  <c r="AG94" s="1"/>
  <c r="N96"/>
  <c r="AB96"/>
  <c r="N97"/>
  <c r="AD97" s="1"/>
  <c r="AG97" s="1"/>
  <c r="N101"/>
  <c r="N104"/>
  <c r="AB107"/>
  <c r="AE107"/>
  <c r="N108"/>
  <c r="AD108" s="1"/>
  <c r="AB110"/>
  <c r="AE110" s="1"/>
  <c r="N111"/>
  <c r="AD111" s="1"/>
  <c r="N113"/>
  <c r="AD113"/>
  <c r="AB116"/>
  <c r="AE116" s="1"/>
  <c r="N117"/>
  <c r="AD117" s="1"/>
  <c r="N119"/>
  <c r="AB122"/>
  <c r="AE122" s="1"/>
  <c r="N123"/>
  <c r="AD123" s="1"/>
  <c r="J159"/>
  <c r="L159"/>
  <c r="J160"/>
  <c r="L160"/>
  <c r="J161"/>
  <c r="L161"/>
  <c r="J162"/>
  <c r="J164" s="1"/>
  <c r="J165" s="1"/>
  <c r="L162"/>
  <c r="L164" s="1"/>
  <c r="L165" s="1"/>
  <c r="I164"/>
  <c r="I165" s="1"/>
  <c r="AB14"/>
  <c r="M17"/>
  <c r="N17" s="1"/>
  <c r="AB46"/>
  <c r="AB113"/>
  <c r="AB119"/>
  <c r="AG123" l="1"/>
  <c r="AH123"/>
  <c r="AG111"/>
  <c r="AH111"/>
  <c r="AG108"/>
  <c r="AH108"/>
  <c r="AG50"/>
  <c r="AH50"/>
  <c r="AG117"/>
  <c r="AH117"/>
  <c r="AG44"/>
  <c r="AH44"/>
  <c r="AH113"/>
  <c r="AG113"/>
  <c r="AI113" s="1"/>
  <c r="AD96"/>
  <c r="AG96" s="1"/>
  <c r="AE96"/>
  <c r="AD90"/>
  <c r="AG90" s="1"/>
  <c r="AE90"/>
  <c r="AD84"/>
  <c r="AG84" s="1"/>
  <c r="AE84"/>
  <c r="AD77"/>
  <c r="AG77" s="1"/>
  <c r="AE77"/>
  <c r="AD71"/>
  <c r="AG71" s="1"/>
  <c r="AE71"/>
  <c r="O36"/>
  <c r="AE36" s="1"/>
  <c r="AD93"/>
  <c r="AG93" s="1"/>
  <c r="AE93"/>
  <c r="AD87"/>
  <c r="AG87" s="1"/>
  <c r="AE87"/>
  <c r="AD80"/>
  <c r="AG80" s="1"/>
  <c r="AE80"/>
  <c r="AD74"/>
  <c r="AG74" s="1"/>
  <c r="AE74"/>
  <c r="AD68"/>
  <c r="AG68" s="1"/>
  <c r="AE68"/>
  <c r="AD27"/>
  <c r="AG27" s="1"/>
  <c r="AE27"/>
  <c r="AD119"/>
  <c r="AE113"/>
  <c r="AD46"/>
  <c r="AE20"/>
  <c r="AD14"/>
  <c r="AE11"/>
  <c r="AI120"/>
  <c r="AI114"/>
  <c r="AI47"/>
  <c r="AD17"/>
  <c r="AG17" s="1"/>
  <c r="O17"/>
  <c r="AD8"/>
  <c r="AD36"/>
  <c r="AG36" s="1"/>
  <c r="AI15"/>
  <c r="AI9"/>
  <c r="AE17" l="1"/>
  <c r="AH14"/>
  <c r="AG14"/>
  <c r="AI14" s="1"/>
  <c r="AH46"/>
  <c r="AG46"/>
  <c r="AI46" s="1"/>
  <c r="AH119"/>
  <c r="AG119"/>
  <c r="AI119" s="1"/>
  <c r="AH8"/>
  <c r="AG8"/>
  <c r="AI8" s="1"/>
  <c r="AE119"/>
  <c r="AI44"/>
  <c r="AI117"/>
  <c r="AI50"/>
  <c r="AI108"/>
  <c r="AI111"/>
  <c r="AI123"/>
  <c r="AE8"/>
  <c r="AE14"/>
  <c r="AE46"/>
</calcChain>
</file>

<file path=xl/sharedStrings.xml><?xml version="1.0" encoding="utf-8"?>
<sst xmlns="http://schemas.openxmlformats.org/spreadsheetml/2006/main" count="194" uniqueCount="128">
  <si>
    <t>Hall effect gage</t>
  </si>
  <si>
    <t>Micrometer</t>
  </si>
  <si>
    <r>
      <t>Calipers/</t>
    </r>
    <r>
      <rPr>
        <b/>
        <sz val="12"/>
        <color rgb="FFFFFF00"/>
        <rFont val="Calibri"/>
        <family val="2"/>
        <scheme val="minor"/>
      </rPr>
      <t>Micrometer</t>
    </r>
  </si>
  <si>
    <t>Area</t>
  </si>
  <si>
    <t>1/8" ball</t>
  </si>
  <si>
    <t>3/16" ball</t>
  </si>
  <si>
    <t>Avg</t>
  </si>
  <si>
    <t>Stdev</t>
  </si>
  <si>
    <t>Error</t>
  </si>
  <si>
    <t>Denver M220 Scale</t>
  </si>
  <si>
    <t>Areal Density</t>
  </si>
  <si>
    <t>Density</t>
  </si>
  <si>
    <t>Tgt #</t>
  </si>
  <si>
    <t>Target</t>
  </si>
  <si>
    <t>Type</t>
  </si>
  <si>
    <t>Foils</t>
  </si>
  <si>
    <t>t (in)</t>
  </si>
  <si>
    <t>t (mm)</t>
  </si>
  <si>
    <t>Error (%)</t>
  </si>
  <si>
    <t>t (% X0)</t>
  </si>
  <si>
    <t>L (in)</t>
  </si>
  <si>
    <t>W (in)</t>
  </si>
  <si>
    <t>A (in^2)</t>
  </si>
  <si>
    <t>A (cm^2)</t>
  </si>
  <si>
    <t>t(in)</t>
  </si>
  <si>
    <t>(in)</t>
  </si>
  <si>
    <t>(%)</t>
  </si>
  <si>
    <t>w (gm)</t>
  </si>
  <si>
    <t>(gm)</t>
  </si>
  <si>
    <t>rho_A</t>
  </si>
  <si>
    <t>error</t>
  </si>
  <si>
    <t>mike</t>
  </si>
  <si>
    <t>Hall</t>
  </si>
  <si>
    <r>
      <t xml:space="preserve">uncertainty: </t>
    </r>
    <r>
      <rPr>
        <b/>
        <sz val="12"/>
        <color theme="1"/>
        <rFont val="Calibri"/>
        <family val="2"/>
      </rPr>
      <t>±</t>
    </r>
  </si>
  <si>
    <t>(g/cm^2)</t>
  </si>
  <si>
    <t>(g/cm^3)</t>
  </si>
  <si>
    <t>Δρ (%)</t>
  </si>
  <si>
    <t>0 LH2</t>
  </si>
  <si>
    <t>LH2</t>
  </si>
  <si>
    <t>DS 2% Al dummy</t>
  </si>
  <si>
    <t>Al</t>
  </si>
  <si>
    <t>DS 8% Al dummy</t>
  </si>
  <si>
    <t>DS 4% Al dummy</t>
  </si>
  <si>
    <t>DS 4% C</t>
  </si>
  <si>
    <t>C</t>
  </si>
  <si>
    <t>A+B+C+D</t>
  </si>
  <si>
    <t>DS 2 mm hole</t>
  </si>
  <si>
    <t>DS 4% Be</t>
  </si>
  <si>
    <t>Be</t>
  </si>
  <si>
    <t>US 0.5% C</t>
  </si>
  <si>
    <t>US 2 mm hole</t>
  </si>
  <si>
    <t>US 0.5" halo hole</t>
  </si>
  <si>
    <t>US Pure Al</t>
  </si>
  <si>
    <t>US Empty Frame</t>
  </si>
  <si>
    <t>US BeO</t>
  </si>
  <si>
    <t>BeO</t>
  </si>
  <si>
    <t>A</t>
  </si>
  <si>
    <t>US 2% Al dummy</t>
  </si>
  <si>
    <t>US 4% Al dummy</t>
  </si>
  <si>
    <t>US 1% Al dummy</t>
  </si>
  <si>
    <t>US Ruby viewer</t>
  </si>
  <si>
    <t>AlO</t>
  </si>
  <si>
    <t>US 6mm hole</t>
  </si>
  <si>
    <t>US Key</t>
  </si>
  <si>
    <t>Optics 135</t>
  </si>
  <si>
    <t>weigh BeO</t>
  </si>
  <si>
    <t>Optics 3</t>
  </si>
  <si>
    <t>get Be</t>
  </si>
  <si>
    <t>Optics 15</t>
  </si>
  <si>
    <t>re-mike selected tgts</t>
  </si>
  <si>
    <t>Optics 1235</t>
  </si>
  <si>
    <t>re-caliper areas</t>
  </si>
  <si>
    <t>Optics 12345</t>
  </si>
  <si>
    <t>mike areas if possible</t>
  </si>
  <si>
    <t xml:space="preserve">Optics 1345 </t>
  </si>
  <si>
    <t>4A</t>
  </si>
  <si>
    <t>Goodfellow</t>
  </si>
  <si>
    <t>4B</t>
  </si>
  <si>
    <t>4C</t>
  </si>
  <si>
    <t>4D</t>
  </si>
  <si>
    <t>10A</t>
  </si>
  <si>
    <t>Pure Al</t>
  </si>
  <si>
    <t>10B</t>
  </si>
  <si>
    <t>10C</t>
  </si>
  <si>
    <t>10D</t>
  </si>
  <si>
    <t>10E</t>
  </si>
  <si>
    <t>12A</t>
  </si>
  <si>
    <t>12B</t>
  </si>
  <si>
    <t>13A</t>
  </si>
  <si>
    <t>13B</t>
  </si>
  <si>
    <t>14A</t>
  </si>
  <si>
    <t>14B</t>
  </si>
  <si>
    <t>15A</t>
  </si>
  <si>
    <t>15B</t>
  </si>
  <si>
    <t>Notes:</t>
  </si>
  <si>
    <t>Micrometer uncertainty estimated to be +- 0.2 mils= +- 0.0002"= +- 0.00508 mm= +- 5.08 microns.</t>
  </si>
  <si>
    <t>1g Ohaus standard</t>
  </si>
  <si>
    <t>Micrometer contact area is circular, about 6 mm in diameter, similar to our raster size.</t>
  </si>
  <si>
    <t>2g Ohaus standard A</t>
  </si>
  <si>
    <t>Micrometer measurements were taken in the middle of the foils with a Starrett micrometer no. 436 - 1 inch.</t>
  </si>
  <si>
    <t>2g Ohaus standard B</t>
  </si>
  <si>
    <t>5g Ohaus standard</t>
  </si>
  <si>
    <t>Optics foil combinations assume foils are numbered 1-5 going downstream.</t>
  </si>
  <si>
    <t>10g Ohaus standard</t>
  </si>
  <si>
    <t>20g Ohaus standard</t>
  </si>
  <si>
    <t>Calipers: uncertainty estimated to be +-1 mil</t>
  </si>
  <si>
    <t>Micrometer area measurements in "caliper" table were taken on both ends of both sides and averaged. They should be more accurate.</t>
  </si>
  <si>
    <t>Pure Al from Goodfellow. Package labeled LS355943 J V, Al Foil, thickness 1.0 mm, high purity 99.999%, temper as rolled, size 25x25 mm, quantity 5, net weight 8.52 g</t>
  </si>
  <si>
    <t>Analysis (ppm): B .112, Ce 1.28, Cu 0.73, Fe 1, Hg &lt; .3, K&lt;.1, La .6, Mg .94, Mn .128, Nd .192, P .541, Pd&lt;.1, Pt&lt;.1, Si 1.09, Ti .13</t>
  </si>
  <si>
    <t>C from Goodfellow. Package labeled LS355758 L O, Carbon Foil, thickness 2.5 mm, purity 99.95%, Condition: rigid graphite, Grain size: fine, size 25x25 mm, quantity 5, net weight 14.3 g</t>
  </si>
  <si>
    <t>BeO from Goodfellow. Package labeled LS355758 L O, Beryllia (BeO 99.5) Sheet, thickness 1.5 mm, size 25x25 mm, quantity 2, net weight 5.43 g, VERY TOXIC</t>
  </si>
  <si>
    <t>Ruby viewer is AlO doped with Chromium, 0.11" thick, 1.5"x1.125". Borrowed from Tony DelaCruz.</t>
  </si>
  <si>
    <t>Be tgt is from J/Psi experiment.</t>
  </si>
  <si>
    <t>in</t>
  </si>
  <si>
    <t>mm</t>
  </si>
  <si>
    <t>X_0 (cm)</t>
  </si>
  <si>
    <t>1% (mm)</t>
  </si>
  <si>
    <t>2% (mm)</t>
  </si>
  <si>
    <t>4% (mm)</t>
  </si>
  <si>
    <t>8% (mm)</t>
  </si>
  <si>
    <t>(mm)</t>
  </si>
  <si>
    <t>(% X0)</t>
  </si>
  <si>
    <t>mm @</t>
  </si>
  <si>
    <t>mils @</t>
  </si>
  <si>
    <t>A+B+C</t>
  </si>
  <si>
    <t>Wiped thermal compound around lip in each target frame to promote heat xfer from target to frame.</t>
  </si>
  <si>
    <t>Put a couple tiny spots of loctite silver anti-sieze on the 1st thread of the screws which hold the targets in place.</t>
  </si>
  <si>
    <t>Wiped thermal compound on all surfaces of the square washers between each target and the big screw holding them in the frame.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</si>
</sst>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_(* #,##0.00000_);_(* \(#,##0.00000\);_(* &quot;-&quot;??_);_(@_)"/>
    <numFmt numFmtId="168" formatCode="0.0000%"/>
    <numFmt numFmtId="169" formatCode="0.0%"/>
  </numFmts>
  <fonts count="2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4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2"/>
      <name val="Times New Roman"/>
      <family val="1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</fonts>
  <fills count="2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915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9"/>
        <bgColor indexed="23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2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5" borderId="44" applyNumberFormat="0" applyAlignment="0" applyProtection="0"/>
    <xf numFmtId="0" fontId="10" fillId="5" borderId="44" applyNumberFormat="0" applyAlignment="0" applyProtection="0"/>
    <xf numFmtId="0" fontId="10" fillId="5" borderId="44" applyNumberFormat="0" applyAlignment="0" applyProtection="0"/>
    <xf numFmtId="0" fontId="11" fillId="18" borderId="45" applyNumberFormat="0" applyAlignment="0" applyProtection="0"/>
    <xf numFmtId="0" fontId="11" fillId="18" borderId="45" applyNumberFormat="0" applyAlignment="0" applyProtection="0"/>
    <xf numFmtId="0" fontId="11" fillId="18" borderId="45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46" applyNumberFormat="0" applyFill="0" applyAlignment="0" applyProtection="0"/>
    <xf numFmtId="0" fontId="14" fillId="0" borderId="46" applyNumberFormat="0" applyFill="0" applyAlignment="0" applyProtection="0"/>
    <xf numFmtId="0" fontId="14" fillId="0" borderId="46" applyNumberFormat="0" applyFill="0" applyAlignment="0" applyProtection="0"/>
    <xf numFmtId="0" fontId="15" fillId="0" borderId="47" applyNumberFormat="0" applyFill="0" applyAlignment="0" applyProtection="0"/>
    <xf numFmtId="0" fontId="15" fillId="0" borderId="47" applyNumberFormat="0" applyFill="0" applyAlignment="0" applyProtection="0"/>
    <xf numFmtId="0" fontId="15" fillId="0" borderId="47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44" applyNumberFormat="0" applyAlignment="0" applyProtection="0"/>
    <xf numFmtId="0" fontId="17" fillId="6" borderId="44" applyNumberFormat="0" applyAlignment="0" applyProtection="0"/>
    <xf numFmtId="0" fontId="17" fillId="6" borderId="44" applyNumberFormat="0" applyAlignment="0" applyProtection="0"/>
    <xf numFmtId="0" fontId="18" fillId="0" borderId="49" applyNumberFormat="0" applyFill="0" applyAlignment="0" applyProtection="0"/>
    <xf numFmtId="0" fontId="18" fillId="0" borderId="49" applyNumberFormat="0" applyFill="0" applyAlignment="0" applyProtection="0"/>
    <xf numFmtId="0" fontId="18" fillId="0" borderId="49" applyNumberFormat="0" applyFill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0" borderId="0"/>
    <xf numFmtId="0" fontId="20" fillId="7" borderId="50" applyNumberFormat="0" applyAlignment="0" applyProtection="0"/>
    <xf numFmtId="0" fontId="20" fillId="7" borderId="50" applyNumberFormat="0" applyAlignment="0" applyProtection="0"/>
    <xf numFmtId="0" fontId="20" fillId="7" borderId="50" applyNumberFormat="0" applyAlignment="0" applyProtection="0"/>
    <xf numFmtId="0" fontId="21" fillId="5" borderId="51" applyNumberFormat="0" applyAlignment="0" applyProtection="0"/>
    <xf numFmtId="0" fontId="21" fillId="5" borderId="51" applyNumberFormat="0" applyAlignment="0" applyProtection="0"/>
    <xf numFmtId="0" fontId="21" fillId="5" borderId="5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2" applyNumberFormat="0" applyFill="0" applyAlignment="0" applyProtection="0"/>
    <xf numFmtId="0" fontId="23" fillId="0" borderId="52" applyNumberFormat="0" applyFill="0" applyAlignment="0" applyProtection="0"/>
    <xf numFmtId="0" fontId="23" fillId="0" borderId="5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3" xfId="0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8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right"/>
    </xf>
    <xf numFmtId="0" fontId="0" fillId="0" borderId="0" xfId="0" applyBorder="1"/>
    <xf numFmtId="0" fontId="0" fillId="0" borderId="23" xfId="0" applyBorder="1"/>
    <xf numFmtId="0" fontId="2" fillId="2" borderId="24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right"/>
    </xf>
    <xf numFmtId="0" fontId="2" fillId="2" borderId="24" xfId="0" applyFont="1" applyFill="1" applyBorder="1"/>
    <xf numFmtId="0" fontId="2" fillId="2" borderId="26" xfId="0" applyFont="1" applyFill="1" applyBorder="1"/>
    <xf numFmtId="0" fontId="2" fillId="2" borderId="25" xfId="0" applyFont="1" applyFill="1" applyBorder="1"/>
    <xf numFmtId="0" fontId="2" fillId="2" borderId="27" xfId="0" applyFont="1" applyFill="1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8" xfId="0" applyNumberFormat="1" applyBorder="1"/>
    <xf numFmtId="10" fontId="0" fillId="0" borderId="23" xfId="2" applyNumberFormat="1" applyFont="1" applyBorder="1"/>
    <xf numFmtId="0" fontId="0" fillId="0" borderId="28" xfId="0" applyBorder="1"/>
    <xf numFmtId="0" fontId="0" fillId="3" borderId="5" xfId="0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 applyAlignment="1">
      <alignment horizontal="center"/>
    </xf>
    <xf numFmtId="0" fontId="0" fillId="3" borderId="27" xfId="0" applyFill="1" applyBorder="1"/>
    <xf numFmtId="164" fontId="0" fillId="3" borderId="5" xfId="0" applyNumberFormat="1" applyFill="1" applyBorder="1"/>
    <xf numFmtId="10" fontId="0" fillId="3" borderId="7" xfId="2" applyNumberFormat="1" applyFont="1" applyFill="1" applyBorder="1"/>
    <xf numFmtId="0" fontId="0" fillId="3" borderId="5" xfId="0" applyFill="1" applyBorder="1"/>
    <xf numFmtId="0" fontId="0" fillId="3" borderId="7" xfId="0" applyFill="1" applyBorder="1"/>
    <xf numFmtId="165" fontId="0" fillId="0" borderId="0" xfId="0" applyNumberFormat="1" applyBorder="1"/>
    <xf numFmtId="10" fontId="0" fillId="0" borderId="0" xfId="2" applyNumberFormat="1" applyFont="1" applyBorder="1"/>
    <xf numFmtId="164" fontId="0" fillId="0" borderId="0" xfId="0" applyNumberFormat="1" applyBorder="1"/>
    <xf numFmtId="166" fontId="0" fillId="0" borderId="0" xfId="0" applyNumberFormat="1" applyBorder="1"/>
    <xf numFmtId="166" fontId="0" fillId="0" borderId="0" xfId="1" applyNumberFormat="1" applyFont="1" applyBorder="1"/>
    <xf numFmtId="167" fontId="0" fillId="0" borderId="0" xfId="1" applyNumberFormat="1" applyFont="1" applyBorder="1"/>
    <xf numFmtId="168" fontId="0" fillId="0" borderId="23" xfId="2" applyNumberFormat="1" applyFont="1" applyBorder="1"/>
    <xf numFmtId="169" fontId="0" fillId="0" borderId="23" xfId="2" applyNumberFormat="1" applyFont="1" applyBorder="1"/>
    <xf numFmtId="164" fontId="0" fillId="4" borderId="28" xfId="0" applyNumberFormat="1" applyFill="1" applyBorder="1"/>
    <xf numFmtId="164" fontId="0" fillId="4" borderId="0" xfId="0" applyNumberFormat="1" applyFill="1" applyBorder="1"/>
    <xf numFmtId="166" fontId="0" fillId="4" borderId="0" xfId="0" applyNumberFormat="1" applyFill="1" applyBorder="1"/>
    <xf numFmtId="10" fontId="0" fillId="4" borderId="23" xfId="2" applyNumberFormat="1" applyFont="1" applyFill="1" applyBorder="1"/>
    <xf numFmtId="0" fontId="0" fillId="0" borderId="29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164" fontId="0" fillId="0" borderId="29" xfId="0" applyNumberFormat="1" applyBorder="1"/>
    <xf numFmtId="165" fontId="0" fillId="0" borderId="30" xfId="0" applyNumberFormat="1" applyBorder="1"/>
    <xf numFmtId="10" fontId="0" fillId="0" borderId="30" xfId="2" applyNumberFormat="1" applyFont="1" applyBorder="1"/>
    <xf numFmtId="10" fontId="0" fillId="0" borderId="31" xfId="2" applyNumberFormat="1" applyFont="1" applyBorder="1"/>
    <xf numFmtId="164" fontId="0" fillId="4" borderId="29" xfId="0" applyNumberFormat="1" applyFill="1" applyBorder="1"/>
    <xf numFmtId="164" fontId="0" fillId="4" borderId="30" xfId="0" applyNumberFormat="1" applyFill="1" applyBorder="1"/>
    <xf numFmtId="166" fontId="0" fillId="4" borderId="30" xfId="0" applyNumberFormat="1" applyFill="1" applyBorder="1"/>
    <xf numFmtId="10" fontId="0" fillId="4" borderId="31" xfId="2" applyNumberFormat="1" applyFont="1" applyFill="1" applyBorder="1"/>
    <xf numFmtId="0" fontId="0" fillId="0" borderId="29" xfId="0" applyBorder="1"/>
    <xf numFmtId="166" fontId="0" fillId="0" borderId="30" xfId="0" applyNumberFormat="1" applyBorder="1"/>
    <xf numFmtId="166" fontId="0" fillId="0" borderId="30" xfId="1" applyNumberFormat="1" applyFont="1" applyBorder="1"/>
    <xf numFmtId="167" fontId="0" fillId="0" borderId="30" xfId="1" applyNumberFormat="1" applyFont="1" applyBorder="1"/>
    <xf numFmtId="168" fontId="0" fillId="0" borderId="31" xfId="2" applyNumberFormat="1" applyFont="1" applyBorder="1"/>
    <xf numFmtId="164" fontId="0" fillId="0" borderId="30" xfId="0" applyNumberFormat="1" applyBorder="1"/>
    <xf numFmtId="169" fontId="0" fillId="0" borderId="31" xfId="2" applyNumberFormat="1" applyFont="1" applyBorder="1"/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/>
    <xf numFmtId="165" fontId="0" fillId="0" borderId="4" xfId="0" applyNumberFormat="1" applyBorder="1"/>
    <xf numFmtId="10" fontId="0" fillId="0" borderId="4" xfId="2" applyNumberFormat="1" applyFont="1" applyBorder="1"/>
    <xf numFmtId="10" fontId="0" fillId="0" borderId="3" xfId="2" applyNumberFormat="1" applyFont="1" applyBorder="1"/>
    <xf numFmtId="164" fontId="0" fillId="0" borderId="4" xfId="0" applyNumberFormat="1" applyBorder="1"/>
    <xf numFmtId="166" fontId="0" fillId="0" borderId="4" xfId="0" applyNumberFormat="1" applyBorder="1"/>
    <xf numFmtId="0" fontId="0" fillId="0" borderId="2" xfId="0" applyBorder="1"/>
    <xf numFmtId="166" fontId="0" fillId="0" borderId="4" xfId="1" applyNumberFormat="1" applyFont="1" applyBorder="1"/>
    <xf numFmtId="167" fontId="0" fillId="0" borderId="4" xfId="1" applyNumberFormat="1" applyFont="1" applyBorder="1"/>
    <xf numFmtId="168" fontId="0" fillId="0" borderId="3" xfId="2" applyNumberFormat="1" applyFont="1" applyBorder="1"/>
    <xf numFmtId="169" fontId="0" fillId="0" borderId="3" xfId="2" applyNumberFormat="1" applyFont="1" applyBorder="1"/>
    <xf numFmtId="164" fontId="0" fillId="0" borderId="0" xfId="0" applyNumberFormat="1" applyFill="1" applyBorder="1"/>
    <xf numFmtId="164" fontId="0" fillId="0" borderId="2" xfId="0" applyNumberFormat="1" applyFill="1" applyBorder="1"/>
    <xf numFmtId="165" fontId="0" fillId="0" borderId="23" xfId="0" applyNumberFormat="1" applyBorder="1"/>
    <xf numFmtId="165" fontId="0" fillId="0" borderId="31" xfId="0" applyNumberFormat="1" applyBorder="1"/>
    <xf numFmtId="0" fontId="0" fillId="0" borderId="31" xfId="0" applyBorder="1"/>
    <xf numFmtId="166" fontId="0" fillId="0" borderId="23" xfId="0" applyNumberFormat="1" applyBorder="1"/>
    <xf numFmtId="165" fontId="0" fillId="3" borderId="6" xfId="0" applyNumberFormat="1" applyFill="1" applyBorder="1"/>
    <xf numFmtId="164" fontId="0" fillId="3" borderId="6" xfId="0" applyNumberFormat="1" applyFill="1" applyBorder="1"/>
    <xf numFmtId="166" fontId="0" fillId="3" borderId="6" xfId="0" applyNumberFormat="1" applyFill="1" applyBorder="1"/>
    <xf numFmtId="166" fontId="0" fillId="3" borderId="7" xfId="0" applyNumberFormat="1" applyFill="1" applyBorder="1"/>
    <xf numFmtId="164" fontId="0" fillId="0" borderId="28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164" fontId="0" fillId="0" borderId="5" xfId="0" applyNumberFormat="1" applyBorder="1"/>
    <xf numFmtId="165" fontId="0" fillId="0" borderId="6" xfId="0" applyNumberFormat="1" applyBorder="1"/>
    <xf numFmtId="10" fontId="0" fillId="0" borderId="7" xfId="2" applyNumberFormat="1" applyFont="1" applyBorder="1"/>
    <xf numFmtId="164" fontId="0" fillId="0" borderId="6" xfId="0" applyNumberFormat="1" applyBorder="1"/>
    <xf numFmtId="166" fontId="0" fillId="0" borderId="6" xfId="0" applyNumberFormat="1" applyBorder="1"/>
    <xf numFmtId="166" fontId="0" fillId="0" borderId="7" xfId="0" applyNumberFormat="1" applyBorder="1"/>
    <xf numFmtId="0" fontId="0" fillId="0" borderId="5" xfId="0" applyBorder="1"/>
    <xf numFmtId="0" fontId="0" fillId="0" borderId="7" xfId="0" applyBorder="1"/>
    <xf numFmtId="0" fontId="0" fillId="4" borderId="0" xfId="0" applyFill="1" applyBorder="1"/>
    <xf numFmtId="0" fontId="0" fillId="4" borderId="23" xfId="0" applyFill="1" applyBorder="1"/>
    <xf numFmtId="0" fontId="5" fillId="4" borderId="2" xfId="0" applyFont="1" applyFill="1" applyBorder="1"/>
    <xf numFmtId="0" fontId="0" fillId="4" borderId="4" xfId="0" applyFill="1" applyBorder="1"/>
    <xf numFmtId="0" fontId="0" fillId="4" borderId="3" xfId="0" applyFill="1" applyBorder="1"/>
    <xf numFmtId="0" fontId="5" fillId="4" borderId="28" xfId="0" applyFont="1" applyFill="1" applyBorder="1"/>
    <xf numFmtId="0" fontId="5" fillId="4" borderId="29" xfId="0" applyFont="1" applyFill="1" applyBorder="1"/>
    <xf numFmtId="0" fontId="0" fillId="4" borderId="30" xfId="0" applyFill="1" applyBorder="1"/>
    <xf numFmtId="0" fontId="0" fillId="4" borderId="31" xfId="0" applyFill="1" applyBorder="1"/>
    <xf numFmtId="166" fontId="0" fillId="4" borderId="31" xfId="0" applyNumberFormat="1" applyFill="1" applyBorder="1"/>
    <xf numFmtId="164" fontId="0" fillId="0" borderId="0" xfId="0" applyNumberFormat="1"/>
    <xf numFmtId="10" fontId="0" fillId="0" borderId="0" xfId="2" applyNumberFormat="1" applyFont="1"/>
    <xf numFmtId="0" fontId="2" fillId="0" borderId="0" xfId="0" applyFont="1"/>
    <xf numFmtId="164" fontId="6" fillId="2" borderId="5" xfId="2" applyNumberFormat="1" applyFont="1" applyFill="1" applyBorder="1" applyAlignment="1">
      <alignment horizontal="right"/>
    </xf>
    <xf numFmtId="164" fontId="6" fillId="2" borderId="6" xfId="2" applyNumberFormat="1" applyFont="1" applyFill="1" applyBorder="1" applyAlignment="1">
      <alignment horizontal="right"/>
    </xf>
    <xf numFmtId="0" fontId="6" fillId="2" borderId="7" xfId="0" applyFont="1" applyFill="1" applyBorder="1"/>
    <xf numFmtId="9" fontId="6" fillId="2" borderId="8" xfId="2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33" xfId="0" applyFont="1" applyFill="1" applyBorder="1" applyAlignment="1">
      <alignment horizontal="center"/>
    </xf>
    <xf numFmtId="165" fontId="5" fillId="0" borderId="34" xfId="0" applyNumberFormat="1" applyFont="1" applyBorder="1"/>
    <xf numFmtId="2" fontId="2" fillId="0" borderId="35" xfId="0" applyNumberFormat="1" applyFont="1" applyBorder="1"/>
    <xf numFmtId="2" fontId="2" fillId="4" borderId="36" xfId="0" applyNumberFormat="1" applyFont="1" applyFill="1" applyBorder="1"/>
    <xf numFmtId="2" fontId="2" fillId="0" borderId="36" xfId="0" applyNumberFormat="1" applyFont="1" applyBorder="1"/>
    <xf numFmtId="2" fontId="2" fillId="4" borderId="33" xfId="0" applyNumberFormat="1" applyFont="1" applyFill="1" applyBorder="1"/>
    <xf numFmtId="169" fontId="2" fillId="4" borderId="33" xfId="2" applyNumberFormat="1" applyFont="1" applyFill="1" applyBorder="1"/>
    <xf numFmtId="169" fontId="2" fillId="4" borderId="0" xfId="2" applyNumberFormat="1" applyFont="1" applyFill="1" applyBorder="1"/>
    <xf numFmtId="0" fontId="2" fillId="2" borderId="37" xfId="0" applyFont="1" applyFill="1" applyBorder="1" applyAlignment="1">
      <alignment horizontal="center"/>
    </xf>
    <xf numFmtId="165" fontId="5" fillId="0" borderId="38" xfId="0" applyNumberFormat="1" applyFont="1" applyBorder="1"/>
    <xf numFmtId="2" fontId="2" fillId="0" borderId="39" xfId="0" applyNumberFormat="1" applyFont="1" applyBorder="1"/>
    <xf numFmtId="2" fontId="2" fillId="4" borderId="40" xfId="0" applyNumberFormat="1" applyFont="1" applyFill="1" applyBorder="1"/>
    <xf numFmtId="2" fontId="2" fillId="0" borderId="40" xfId="0" applyNumberFormat="1" applyFont="1" applyBorder="1"/>
    <xf numFmtId="2" fontId="2" fillId="4" borderId="37" xfId="0" applyNumberFormat="1" applyFont="1" applyFill="1" applyBorder="1"/>
    <xf numFmtId="169" fontId="2" fillId="4" borderId="37" xfId="2" applyNumberFormat="1" applyFont="1" applyFill="1" applyBorder="1"/>
    <xf numFmtId="0" fontId="2" fillId="2" borderId="41" xfId="0" applyFont="1" applyFill="1" applyBorder="1" applyAlignment="1">
      <alignment horizontal="center"/>
    </xf>
    <xf numFmtId="165" fontId="5" fillId="0" borderId="42" xfId="0" applyNumberFormat="1" applyFont="1" applyBorder="1"/>
    <xf numFmtId="2" fontId="2" fillId="4" borderId="26" xfId="0" applyNumberFormat="1" applyFont="1" applyFill="1" applyBorder="1"/>
    <xf numFmtId="2" fontId="2" fillId="4" borderId="43" xfId="0" applyNumberFormat="1" applyFont="1" applyFill="1" applyBorder="1"/>
    <xf numFmtId="2" fontId="2" fillId="4" borderId="41" xfId="0" applyNumberFormat="1" applyFont="1" applyFill="1" applyBorder="1"/>
    <xf numFmtId="169" fontId="2" fillId="4" borderId="41" xfId="2" applyNumberFormat="1" applyFont="1" applyFill="1" applyBorder="1"/>
    <xf numFmtId="0" fontId="2" fillId="2" borderId="0" xfId="0" applyFont="1" applyFill="1" applyBorder="1" applyAlignment="1">
      <alignment horizontal="center"/>
    </xf>
    <xf numFmtId="10" fontId="0" fillId="0" borderId="0" xfId="0" applyNumberFormat="1"/>
    <xf numFmtId="164" fontId="2" fillId="0" borderId="0" xfId="0" applyNumberFormat="1" applyFont="1" applyFill="1" applyBorder="1"/>
    <xf numFmtId="2" fontId="0" fillId="0" borderId="0" xfId="0" applyNumberForma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127">
    <cellStyle name="20% - Accent1 2" xfId="3"/>
    <cellStyle name="20% - Accent1 3" xfId="4"/>
    <cellStyle name="20% - Accent1 4" xfId="5"/>
    <cellStyle name="20% - Accent2 2" xfId="6"/>
    <cellStyle name="20% - Accent2 3" xfId="7"/>
    <cellStyle name="20% - Accent2 4" xfId="8"/>
    <cellStyle name="20% - Accent3 2" xfId="9"/>
    <cellStyle name="20% - Accent3 3" xfId="10"/>
    <cellStyle name="20% - Accent3 4" xfId="11"/>
    <cellStyle name="20% - Accent4 2" xfId="12"/>
    <cellStyle name="20% - Accent4 3" xfId="13"/>
    <cellStyle name="20% - Accent4 4" xfId="14"/>
    <cellStyle name="20% - Accent5 2" xfId="15"/>
    <cellStyle name="20% - Accent5 3" xfId="16"/>
    <cellStyle name="20% - Accent5 4" xfId="17"/>
    <cellStyle name="20% - Accent6 2" xfId="18"/>
    <cellStyle name="20% - Accent6 3" xfId="19"/>
    <cellStyle name="20% - Accent6 4" xfId="20"/>
    <cellStyle name="40% - Accent1 2" xfId="21"/>
    <cellStyle name="40% - Accent1 3" xfId="22"/>
    <cellStyle name="40% - Accent1 4" xfId="23"/>
    <cellStyle name="40% - Accent2 2" xfId="24"/>
    <cellStyle name="40% - Accent2 3" xfId="25"/>
    <cellStyle name="40% - Accent2 4" xfId="26"/>
    <cellStyle name="40% - Accent3 2" xfId="27"/>
    <cellStyle name="40% - Accent3 3" xfId="28"/>
    <cellStyle name="40% - Accent3 4" xfId="29"/>
    <cellStyle name="40% - Accent4 2" xfId="30"/>
    <cellStyle name="40% - Accent4 3" xfId="31"/>
    <cellStyle name="40% - Accent4 4" xfId="32"/>
    <cellStyle name="40% - Accent5 2" xfId="33"/>
    <cellStyle name="40% - Accent5 3" xfId="34"/>
    <cellStyle name="40% - Accent5 4" xfId="35"/>
    <cellStyle name="40% - Accent6 2" xfId="36"/>
    <cellStyle name="40% - Accent6 3" xfId="37"/>
    <cellStyle name="40% - Accent6 4" xfId="38"/>
    <cellStyle name="60% - Accent1 2" xfId="39"/>
    <cellStyle name="60% - Accent1 3" xfId="40"/>
    <cellStyle name="60% - Accent1 4" xfId="41"/>
    <cellStyle name="60% - Accent2 2" xfId="42"/>
    <cellStyle name="60% - Accent2 3" xfId="43"/>
    <cellStyle name="60% - Accent2 4" xfId="44"/>
    <cellStyle name="60% - Accent3 2" xfId="45"/>
    <cellStyle name="60% - Accent3 3" xfId="46"/>
    <cellStyle name="60% - Accent3 4" xfId="47"/>
    <cellStyle name="60% - Accent4 2" xfId="48"/>
    <cellStyle name="60% - Accent4 3" xfId="49"/>
    <cellStyle name="60% - Accent4 4" xfId="50"/>
    <cellStyle name="60% - Accent5 2" xfId="51"/>
    <cellStyle name="60% - Accent5 3" xfId="52"/>
    <cellStyle name="60% - Accent5 4" xfId="53"/>
    <cellStyle name="60% - Accent6 2" xfId="54"/>
    <cellStyle name="60% - Accent6 3" xfId="55"/>
    <cellStyle name="60% - Accent6 4" xfId="56"/>
    <cellStyle name="Accent1 2" xfId="57"/>
    <cellStyle name="Accent1 3" xfId="58"/>
    <cellStyle name="Accent1 4" xfId="59"/>
    <cellStyle name="Accent2 2" xfId="60"/>
    <cellStyle name="Accent2 3" xfId="61"/>
    <cellStyle name="Accent2 4" xfId="62"/>
    <cellStyle name="Accent3 2" xfId="63"/>
    <cellStyle name="Accent3 3" xfId="64"/>
    <cellStyle name="Accent3 4" xfId="65"/>
    <cellStyle name="Accent4 2" xfId="66"/>
    <cellStyle name="Accent4 3" xfId="67"/>
    <cellStyle name="Accent4 4" xfId="68"/>
    <cellStyle name="Accent5 2" xfId="69"/>
    <cellStyle name="Accent5 3" xfId="70"/>
    <cellStyle name="Accent5 4" xfId="71"/>
    <cellStyle name="Accent6 2" xfId="72"/>
    <cellStyle name="Accent6 3" xfId="73"/>
    <cellStyle name="Accent6 4" xfId="74"/>
    <cellStyle name="Bad 2" xfId="75"/>
    <cellStyle name="Bad 3" xfId="76"/>
    <cellStyle name="Bad 4" xfId="77"/>
    <cellStyle name="Calculation 2" xfId="78"/>
    <cellStyle name="Calculation 3" xfId="79"/>
    <cellStyle name="Calculation 4" xfId="80"/>
    <cellStyle name="Check Cell 2" xfId="81"/>
    <cellStyle name="Check Cell 3" xfId="82"/>
    <cellStyle name="Check Cell 4" xfId="83"/>
    <cellStyle name="Comma" xfId="1" builtinId="3"/>
    <cellStyle name="Explanatory Text 2" xfId="84"/>
    <cellStyle name="Explanatory Text 3" xfId="85"/>
    <cellStyle name="Explanatory Text 4" xfId="86"/>
    <cellStyle name="Good 2" xfId="87"/>
    <cellStyle name="Good 3" xfId="88"/>
    <cellStyle name="Good 4" xfId="89"/>
    <cellStyle name="Heading 1 2" xfId="90"/>
    <cellStyle name="Heading 1 3" xfId="91"/>
    <cellStyle name="Heading 1 4" xfId="92"/>
    <cellStyle name="Heading 2 2" xfId="93"/>
    <cellStyle name="Heading 2 3" xfId="94"/>
    <cellStyle name="Heading 2 4" xfId="95"/>
    <cellStyle name="Heading 3 2" xfId="96"/>
    <cellStyle name="Heading 3 3" xfId="97"/>
    <cellStyle name="Heading 3 4" xfId="98"/>
    <cellStyle name="Heading 4 2" xfId="99"/>
    <cellStyle name="Heading 4 3" xfId="100"/>
    <cellStyle name="Heading 4 4" xfId="101"/>
    <cellStyle name="Input 2" xfId="102"/>
    <cellStyle name="Input 3" xfId="103"/>
    <cellStyle name="Input 4" xfId="104"/>
    <cellStyle name="Linked Cell 2" xfId="105"/>
    <cellStyle name="Linked Cell 3" xfId="106"/>
    <cellStyle name="Linked Cell 4" xfId="107"/>
    <cellStyle name="Neutral 2" xfId="108"/>
    <cellStyle name="Neutral 3" xfId="109"/>
    <cellStyle name="Neutral 4" xfId="110"/>
    <cellStyle name="Normal" xfId="0" builtinId="0"/>
    <cellStyle name="Normal 4" xfId="111"/>
    <cellStyle name="Note 2" xfId="112"/>
    <cellStyle name="Note 3" xfId="113"/>
    <cellStyle name="Note 4" xfId="114"/>
    <cellStyle name="Output 2" xfId="115"/>
    <cellStyle name="Output 3" xfId="116"/>
    <cellStyle name="Output 4" xfId="117"/>
    <cellStyle name="Percent" xfId="2" builtinId="5"/>
    <cellStyle name="Title 2" xfId="118"/>
    <cellStyle name="Title 3" xfId="119"/>
    <cellStyle name="Title 4" xfId="120"/>
    <cellStyle name="Total 2" xfId="121"/>
    <cellStyle name="Total 3" xfId="122"/>
    <cellStyle name="Total 4" xfId="123"/>
    <cellStyle name="Warning Text 2" xfId="124"/>
    <cellStyle name="Warning Text 3" xfId="125"/>
    <cellStyle name="Warning Text 4" xfId="126"/>
  </cellStyles>
  <dxfs count="3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5"/>
  <sheetViews>
    <sheetView tabSelected="1" topLeftCell="A139" workbookViewId="0">
      <selection activeCell="F153" sqref="F153"/>
    </sheetView>
  </sheetViews>
  <sheetFormatPr defaultRowHeight="15.75"/>
  <cols>
    <col min="1" max="1" width="9.375" style="1" bestFit="1" customWidth="1"/>
    <col min="2" max="2" width="14.875" bestFit="1" customWidth="1"/>
    <col min="3" max="3" width="6.625" bestFit="1" customWidth="1"/>
    <col min="4" max="4" width="8.5" style="1" bestFit="1" customWidth="1"/>
    <col min="5" max="5" width="2.125" style="1" customWidth="1"/>
    <col min="10" max="10" width="2.125" customWidth="1"/>
    <col min="16" max="16" width="1.875" customWidth="1"/>
    <col min="17" max="17" width="9.875" bestFit="1" customWidth="1"/>
    <col min="22" max="22" width="2.75" customWidth="1"/>
    <col min="28" max="28" width="9.375" customWidth="1"/>
    <col min="29" max="29" width="2.75" customWidth="1"/>
    <col min="32" max="32" width="2.25" customWidth="1"/>
  </cols>
  <sheetData>
    <row r="1" spans="1:35" ht="16.5" thickBot="1">
      <c r="B1" s="167">
        <v>40318</v>
      </c>
      <c r="D1"/>
      <c r="E1"/>
      <c r="P1" s="2"/>
      <c r="Q1" s="161" t="s">
        <v>0</v>
      </c>
      <c r="R1" s="162"/>
      <c r="S1" s="3"/>
      <c r="T1" s="3"/>
      <c r="U1" s="4"/>
    </row>
    <row r="2" spans="1:35" ht="16.5" thickBot="1">
      <c r="D2"/>
      <c r="E2"/>
      <c r="F2" s="163" t="s">
        <v>1</v>
      </c>
      <c r="G2" s="164"/>
      <c r="H2" s="164"/>
      <c r="I2" s="165"/>
      <c r="J2" s="2"/>
      <c r="K2" s="161" t="s">
        <v>2</v>
      </c>
      <c r="L2" s="166"/>
      <c r="M2" s="166"/>
      <c r="N2" s="162"/>
      <c r="O2" s="5" t="s">
        <v>3</v>
      </c>
      <c r="P2" s="2"/>
      <c r="Q2" s="6" t="s">
        <v>4</v>
      </c>
      <c r="R2" s="7" t="s">
        <v>5</v>
      </c>
      <c r="S2" s="8" t="s">
        <v>6</v>
      </c>
      <c r="T2" s="8" t="s">
        <v>7</v>
      </c>
      <c r="U2" s="8" t="s">
        <v>8</v>
      </c>
      <c r="W2" s="161" t="s">
        <v>9</v>
      </c>
      <c r="X2" s="166"/>
      <c r="Y2" s="162"/>
      <c r="Z2" s="8" t="s">
        <v>6</v>
      </c>
      <c r="AA2" s="8" t="s">
        <v>7</v>
      </c>
      <c r="AB2" s="8" t="s">
        <v>8</v>
      </c>
      <c r="AC2" s="2"/>
      <c r="AD2" s="163" t="s">
        <v>10</v>
      </c>
      <c r="AE2" s="165"/>
      <c r="AG2" s="163" t="s">
        <v>11</v>
      </c>
      <c r="AH2" s="165"/>
    </row>
    <row r="3" spans="1:35" ht="16.5" thickBot="1">
      <c r="A3" s="9" t="s">
        <v>12</v>
      </c>
      <c r="B3" s="10" t="s">
        <v>13</v>
      </c>
      <c r="C3" s="10" t="s">
        <v>14</v>
      </c>
      <c r="D3" s="11" t="s">
        <v>15</v>
      </c>
      <c r="E3" s="2"/>
      <c r="F3" s="12" t="s">
        <v>16</v>
      </c>
      <c r="G3" s="13" t="s">
        <v>17</v>
      </c>
      <c r="H3" s="14" t="s">
        <v>18</v>
      </c>
      <c r="I3" s="14" t="s">
        <v>19</v>
      </c>
      <c r="J3" s="2"/>
      <c r="K3" s="17" t="s">
        <v>20</v>
      </c>
      <c r="L3" s="13" t="s">
        <v>21</v>
      </c>
      <c r="M3" s="15" t="s">
        <v>22</v>
      </c>
      <c r="N3" s="14" t="s">
        <v>23</v>
      </c>
      <c r="O3" s="16" t="s">
        <v>18</v>
      </c>
      <c r="P3" s="2"/>
      <c r="Q3" s="17" t="s">
        <v>24</v>
      </c>
      <c r="R3" s="18" t="s">
        <v>24</v>
      </c>
      <c r="S3" s="16" t="s">
        <v>25</v>
      </c>
      <c r="T3" s="16" t="s">
        <v>25</v>
      </c>
      <c r="U3" s="16" t="s">
        <v>26</v>
      </c>
      <c r="W3" s="19" t="s">
        <v>27</v>
      </c>
      <c r="X3" s="20" t="s">
        <v>27</v>
      </c>
      <c r="Y3" s="21" t="s">
        <v>27</v>
      </c>
      <c r="Z3" s="16" t="s">
        <v>28</v>
      </c>
      <c r="AA3" s="16" t="s">
        <v>28</v>
      </c>
      <c r="AB3" s="16" t="s">
        <v>26</v>
      </c>
      <c r="AC3" s="2"/>
      <c r="AD3" s="22" t="s">
        <v>29</v>
      </c>
      <c r="AE3" s="23" t="s">
        <v>30</v>
      </c>
      <c r="AG3" s="22" t="s">
        <v>31</v>
      </c>
      <c r="AH3" s="23" t="s">
        <v>32</v>
      </c>
    </row>
    <row r="4" spans="1:35" ht="16.5" thickBot="1">
      <c r="A4" s="24"/>
      <c r="B4" s="25" t="s">
        <v>33</v>
      </c>
      <c r="C4" s="25"/>
      <c r="D4" s="26"/>
      <c r="E4" s="2"/>
      <c r="F4" s="27">
        <v>2.5000000000000001E-4</v>
      </c>
      <c r="G4" s="14">
        <f>F4*25.4</f>
        <v>6.3499999999999997E-3</v>
      </c>
      <c r="H4" s="28"/>
      <c r="I4" s="29"/>
      <c r="J4" s="2"/>
      <c r="K4" s="30">
        <v>1E-3</v>
      </c>
      <c r="L4" s="31">
        <v>1E-3</v>
      </c>
      <c r="M4" s="28"/>
      <c r="N4" s="28"/>
      <c r="O4" s="29"/>
      <c r="P4" s="2"/>
      <c r="Q4" s="30">
        <v>2.0000000000000001E-4</v>
      </c>
      <c r="R4" s="31">
        <v>2.0000000000000001E-4</v>
      </c>
      <c r="S4" s="28"/>
      <c r="T4" s="28"/>
      <c r="U4" s="29"/>
      <c r="W4" s="32">
        <v>2E-3</v>
      </c>
      <c r="X4" s="33">
        <v>2E-3</v>
      </c>
      <c r="Y4" s="34">
        <v>2E-3</v>
      </c>
      <c r="Z4" s="28"/>
      <c r="AA4" s="28"/>
      <c r="AB4" s="29"/>
      <c r="AC4" s="2"/>
      <c r="AD4" s="30" t="s">
        <v>34</v>
      </c>
      <c r="AE4" s="31" t="s">
        <v>26</v>
      </c>
      <c r="AG4" s="30" t="s">
        <v>35</v>
      </c>
      <c r="AH4" s="31" t="s">
        <v>35</v>
      </c>
      <c r="AI4" s="35" t="s">
        <v>36</v>
      </c>
    </row>
    <row r="5" spans="1:35">
      <c r="A5" s="36">
        <v>0</v>
      </c>
      <c r="B5" s="28" t="s">
        <v>37</v>
      </c>
      <c r="C5" s="28" t="s">
        <v>38</v>
      </c>
      <c r="D5" s="37"/>
      <c r="E5" s="2"/>
      <c r="F5" s="38">
        <f>G5/25.4</f>
        <v>13.779527559055119</v>
      </c>
      <c r="G5" s="28">
        <v>350</v>
      </c>
      <c r="H5" s="28"/>
      <c r="I5" s="39"/>
      <c r="J5" s="2"/>
      <c r="K5" s="40"/>
      <c r="L5" s="28"/>
      <c r="M5" s="28"/>
      <c r="N5" s="28"/>
      <c r="O5" s="29"/>
      <c r="P5" s="2"/>
      <c r="Q5" s="40"/>
      <c r="R5" s="28"/>
      <c r="S5" s="28"/>
      <c r="T5" s="28"/>
      <c r="U5" s="29"/>
      <c r="W5" s="40"/>
      <c r="X5" s="28"/>
      <c r="Y5" s="28"/>
      <c r="Z5" s="28"/>
      <c r="AA5" s="28"/>
      <c r="AB5" s="29"/>
      <c r="AC5" s="2"/>
      <c r="AD5" s="40"/>
      <c r="AE5" s="29"/>
      <c r="AG5" s="40"/>
      <c r="AH5" s="28"/>
      <c r="AI5" s="29"/>
    </row>
    <row r="6" spans="1:35" ht="16.5" thickBot="1">
      <c r="A6" s="36"/>
      <c r="B6" s="28"/>
      <c r="C6" s="28"/>
      <c r="D6" s="37"/>
      <c r="E6" s="2"/>
      <c r="F6" s="38"/>
      <c r="G6" s="28"/>
      <c r="H6" s="28"/>
      <c r="I6" s="39" t="str">
        <f>IF(G6="","",IF(C6="Al", G6/10/8.896, IF(C6="Pure Al", G6/10/8.896, IF(C6="C", G6/10/21.349, IF(C6="Be", G6/10/35.276, IF(C6="LH2", G6/10/871.902, ""))))))</f>
        <v/>
      </c>
      <c r="J6" s="2"/>
      <c r="K6" s="40"/>
      <c r="L6" s="28"/>
      <c r="M6" s="28"/>
      <c r="N6" s="28"/>
      <c r="O6" s="29"/>
      <c r="P6" s="2"/>
      <c r="Q6" s="40"/>
      <c r="R6" s="28"/>
      <c r="S6" s="28"/>
      <c r="T6" s="28"/>
      <c r="U6" s="29"/>
      <c r="V6" s="2"/>
      <c r="W6" s="40"/>
      <c r="X6" s="28"/>
      <c r="Y6" s="28"/>
      <c r="Z6" s="28"/>
      <c r="AA6" s="28"/>
      <c r="AB6" s="29"/>
      <c r="AC6" s="2"/>
      <c r="AD6" s="40"/>
      <c r="AE6" s="29"/>
      <c r="AG6" s="40"/>
      <c r="AH6" s="28"/>
      <c r="AI6" s="29"/>
    </row>
    <row r="7" spans="1:35" s="42" customFormat="1" ht="5.25" customHeight="1" thickBot="1">
      <c r="A7" s="41"/>
      <c r="D7" s="43"/>
      <c r="E7" s="44"/>
      <c r="F7" s="45"/>
      <c r="I7" s="46"/>
      <c r="J7" s="44"/>
      <c r="K7" s="47"/>
      <c r="O7" s="48"/>
      <c r="P7" s="44"/>
      <c r="Q7" s="47"/>
      <c r="U7" s="48"/>
      <c r="V7" s="44"/>
      <c r="W7" s="47"/>
      <c r="AB7" s="48"/>
      <c r="AC7" s="44"/>
      <c r="AD7" s="47"/>
      <c r="AE7" s="48"/>
      <c r="AG7" s="47"/>
      <c r="AI7" s="48"/>
    </row>
    <row r="8" spans="1:35" s="28" customFormat="1">
      <c r="A8" s="36">
        <v>1</v>
      </c>
      <c r="B8" s="28" t="s">
        <v>39</v>
      </c>
      <c r="C8" s="28" t="s">
        <v>40</v>
      </c>
      <c r="D8" s="37"/>
      <c r="E8" s="2"/>
      <c r="F8" s="49">
        <f>0.05+0.0212</f>
        <v>7.1199999999999999E-2</v>
      </c>
      <c r="G8" s="49">
        <f>IF(F8="","",F8*25.4)</f>
        <v>1.8084799999999999</v>
      </c>
      <c r="H8" s="50">
        <f>$G$4/G8</f>
        <v>3.5112359550561797E-3</v>
      </c>
      <c r="I8" s="39">
        <f>IF(G8="","",IF(C8="Al", G8/10/8.896, IF(C8="Pure Al", G8/10/8.896, IF(C8="C", G8/10/21.349, IF(C8="Be", G8/10/35.276, IF(C8="LH2", G8/10/871.902, ""))))))</f>
        <v>2.0329136690647478E-2</v>
      </c>
      <c r="J8" s="2"/>
      <c r="K8" s="38">
        <v>0.98399999999999999</v>
      </c>
      <c r="L8" s="51">
        <v>0.98399999999999999</v>
      </c>
      <c r="M8" s="52">
        <f>IF(K8="","",K8*L8)</f>
        <v>0.96825600000000001</v>
      </c>
      <c r="N8" s="52">
        <f>IF(M8="","",M8*2.54*2.54)</f>
        <v>6.2468004096000005</v>
      </c>
      <c r="O8" s="39">
        <f>(SQRT(K8^2*$L$4^2+L8^2*$K$4^2))/M8</f>
        <v>1.4372089048507064E-3</v>
      </c>
      <c r="P8" s="2"/>
      <c r="Q8" s="40">
        <v>7.0599999999999996E-2</v>
      </c>
      <c r="R8" s="28">
        <v>7.0900000000000005E-2</v>
      </c>
      <c r="S8" s="52">
        <f>AVERAGE(Q8:R8)</f>
        <v>7.0750000000000007E-2</v>
      </c>
      <c r="T8" s="53">
        <f>STDEV(Q8:R8)</f>
        <v>2.1213203435597035E-4</v>
      </c>
      <c r="U8" s="39">
        <f>1/SQRT(COUNT(Q8:R8))*$Q$4/S8</f>
        <v>1.9988884273824665E-3</v>
      </c>
      <c r="V8" s="2"/>
      <c r="W8" s="40">
        <v>3.1377000000000002</v>
      </c>
      <c r="X8" s="28">
        <v>3.1375999999999999</v>
      </c>
      <c r="Y8" s="28">
        <v>3.1375000000000002</v>
      </c>
      <c r="Z8" s="28">
        <f>AVERAGE(W8:Y8)</f>
        <v>3.1376000000000004</v>
      </c>
      <c r="AA8" s="54">
        <f>STDEV(W8:Y8)</f>
        <v>9.9999999999988987E-5</v>
      </c>
      <c r="AB8" s="55">
        <f>1/SQRT(COUNT(W8:Y8))*$Y$4/Z8</f>
        <v>3.6802031437380535E-4</v>
      </c>
      <c r="AC8" s="2"/>
      <c r="AD8" s="38">
        <f>Z8/N8</f>
        <v>0.50227313092606229</v>
      </c>
      <c r="AE8" s="39">
        <f>SQRT((1/N8)^2*(AB8*Z8)^2 + (Z8/N8^2)^2*(O8*N8)^2)/AD8</f>
        <v>1.4835795859925954E-3</v>
      </c>
      <c r="AG8" s="38">
        <f>AD8/(G8/10)</f>
        <v>2.7773220103405198</v>
      </c>
      <c r="AH8" s="51">
        <f>AD8/(S8*2.54)</f>
        <v>2.7949869559893279</v>
      </c>
      <c r="AI8" s="56">
        <f>AG8/AH8</f>
        <v>0.99367977528089924</v>
      </c>
    </row>
    <row r="9" spans="1:35" s="28" customFormat="1">
      <c r="A9" s="36"/>
      <c r="D9" s="37"/>
      <c r="E9" s="2"/>
      <c r="F9" s="38">
        <v>7.1099999999999997E-2</v>
      </c>
      <c r="G9" s="49">
        <f>IF(F9="","",F9*25.4)</f>
        <v>1.8059399999999999</v>
      </c>
      <c r="H9" s="50">
        <f>$G$4/G9</f>
        <v>3.5161744022503519E-3</v>
      </c>
      <c r="I9" s="39" t="str">
        <f>IF(G9="","",IF(C9="Al", G9/10/8.896, IF(C9="Pure Al", G9/10/8.896, IF(C9="C", G9/10/21.349, IF(C9="Be", G9/10/35.276, IF(C9="LH2", G9/10/871.902, ""))))))</f>
        <v/>
      </c>
      <c r="J9" s="2"/>
      <c r="K9" s="57">
        <v>0.98429999999999995</v>
      </c>
      <c r="L9" s="58">
        <v>0.98450000000000004</v>
      </c>
      <c r="M9" s="59">
        <f>IF(K9="","",AVERAGE(K9,K10)*AVERAGE(L9,L10))</f>
        <v>0.96909256499999996</v>
      </c>
      <c r="N9" s="59">
        <f>IF(M9="","",M9*2.54*2.54)</f>
        <v>6.2521975923540003</v>
      </c>
      <c r="O9" s="60">
        <f>(SQRT(K9^2*2*$F$4^2+L9^2*2*$F$4^2))/M9</f>
        <v>5.0789782144249345E-4</v>
      </c>
      <c r="P9" s="2"/>
      <c r="Q9" s="40"/>
      <c r="S9" s="52"/>
      <c r="T9" s="53"/>
      <c r="U9" s="39"/>
      <c r="V9" s="2"/>
      <c r="W9" s="40">
        <v>3.1375999999999999</v>
      </c>
      <c r="X9" s="28">
        <v>3.1375999999999999</v>
      </c>
      <c r="AA9" s="54"/>
      <c r="AB9" s="55"/>
      <c r="AC9" s="2"/>
      <c r="AD9" s="38">
        <f>Z8/N9</f>
        <v>0.50183954580019441</v>
      </c>
      <c r="AE9" s="39"/>
      <c r="AG9" s="38">
        <f>AD9/(G9/10)</f>
        <v>2.7788273464245461</v>
      </c>
      <c r="AH9" s="51">
        <f>AD9/(S8*2.54)</f>
        <v>2.7925741954881294</v>
      </c>
      <c r="AI9" s="56">
        <f>AG9/AH9</f>
        <v>0.99507735583684986</v>
      </c>
    </row>
    <row r="10" spans="1:35" s="62" customFormat="1" ht="16.5" thickBot="1">
      <c r="A10" s="61"/>
      <c r="D10" s="63"/>
      <c r="E10" s="2"/>
      <c r="F10" s="64"/>
      <c r="G10" s="65"/>
      <c r="H10" s="66"/>
      <c r="I10" s="67"/>
      <c r="J10" s="2"/>
      <c r="K10" s="68">
        <v>0.98429999999999995</v>
      </c>
      <c r="L10" s="69">
        <v>0.98460000000000003</v>
      </c>
      <c r="M10" s="70"/>
      <c r="N10" s="70"/>
      <c r="O10" s="71"/>
      <c r="P10" s="2"/>
      <c r="Q10" s="72"/>
      <c r="S10" s="73"/>
      <c r="T10" s="74"/>
      <c r="U10" s="67"/>
      <c r="V10" s="2"/>
      <c r="W10" s="72"/>
      <c r="AA10" s="75"/>
      <c r="AB10" s="76"/>
      <c r="AC10" s="2"/>
      <c r="AD10" s="64"/>
      <c r="AE10" s="67"/>
      <c r="AG10" s="64"/>
      <c r="AH10" s="77"/>
      <c r="AI10" s="78"/>
    </row>
    <row r="11" spans="1:35">
      <c r="A11" s="36">
        <v>2</v>
      </c>
      <c r="B11" s="28" t="s">
        <v>41</v>
      </c>
      <c r="C11" s="28" t="s">
        <v>40</v>
      </c>
      <c r="D11" s="37"/>
      <c r="E11" s="2"/>
      <c r="F11" s="38">
        <v>0.2792</v>
      </c>
      <c r="G11" s="49">
        <f>IF(F11="","",F11*25.4)</f>
        <v>7.0916799999999993</v>
      </c>
      <c r="H11" s="50">
        <f>$G$4/G11</f>
        <v>8.9541547277936968E-4</v>
      </c>
      <c r="I11" s="39">
        <f>IF(G11="","",IF(C11="Al", G11/10/8.896, IF(C11="Pure Al", G11/10/8.896, IF(C11="C", G11/10/21.349, IF(C11="Be", G11/10/35.276, IF(C11="LH2", G11/10/871.902, ""))))))</f>
        <v>7.9717625899280553E-2</v>
      </c>
      <c r="J11" s="2"/>
      <c r="K11" s="38">
        <v>0.98399999999999999</v>
      </c>
      <c r="L11" s="51">
        <v>0.98399999999999999</v>
      </c>
      <c r="M11" s="52">
        <f>IF(K11="","",K11*L11)</f>
        <v>0.96825600000000001</v>
      </c>
      <c r="N11" s="52">
        <f>IF(M11="","",M11*2.54*2.54)</f>
        <v>6.2468004096000005</v>
      </c>
      <c r="O11" s="39">
        <f>(SQRT(K11^2*$L$4^2+L11^2*$K$4^2))/M11</f>
        <v>1.4372089048507064E-3</v>
      </c>
      <c r="P11" s="2"/>
      <c r="Q11" s="40"/>
      <c r="R11" s="28"/>
      <c r="S11" s="52"/>
      <c r="T11" s="52"/>
      <c r="U11" s="29"/>
      <c r="V11" s="2"/>
      <c r="W11" s="40">
        <v>12.392099999999999</v>
      </c>
      <c r="X11" s="28">
        <v>12.392099999999999</v>
      </c>
      <c r="Y11" s="28">
        <v>12.392099999999999</v>
      </c>
      <c r="Z11" s="28">
        <f t="shared" ref="Z11:Z17" si="0">AVERAGE(W11:Y11)</f>
        <v>12.392099999999999</v>
      </c>
      <c r="AA11" s="54">
        <f t="shared" ref="AA11:AA17" si="1">STDEV(W11:Y11)</f>
        <v>0</v>
      </c>
      <c r="AB11" s="55">
        <f>1/SQRT(COUNT(W11:Y11))*$Y$4/Z11</f>
        <v>9.3180376076633647E-5</v>
      </c>
      <c r="AC11" s="2"/>
      <c r="AD11" s="38">
        <f>Z11/N11</f>
        <v>1.9837515507868611</v>
      </c>
      <c r="AE11" s="39">
        <f>SQRT((1/N11)^2*(AB11*Z11)^2 + (Z11/N11^2)^2*(O11*N11)^2)/AD11</f>
        <v>1.4402263775767858E-3</v>
      </c>
      <c r="AG11" s="38">
        <f>AD11/(G11/10)</f>
        <v>2.7972942247631893</v>
      </c>
      <c r="AH11" s="51"/>
      <c r="AI11" s="56"/>
    </row>
    <row r="12" spans="1:35">
      <c r="A12" s="36"/>
      <c r="B12" s="28"/>
      <c r="C12" s="28"/>
      <c r="D12" s="37"/>
      <c r="E12" s="2"/>
      <c r="F12" s="38">
        <v>0.27900000000000003</v>
      </c>
      <c r="G12" s="49">
        <f>IF(F12="","",F12*25.4)</f>
        <v>7.0866000000000007</v>
      </c>
      <c r="H12" s="50">
        <f>$G$4/G12</f>
        <v>8.9605734767025079E-4</v>
      </c>
      <c r="I12" s="39" t="str">
        <f>IF(G12="","",IF(C12="Al", G12/10/8.896, IF(C12="Pure Al", G12/10/8.896, IF(C12="C", G12/10/21.349, IF(C12="Be", G12/10/35.276, IF(C12="LH2", G12/10/871.902, ""))))))</f>
        <v/>
      </c>
      <c r="J12" s="2"/>
      <c r="K12" s="57">
        <v>0.98440000000000005</v>
      </c>
      <c r="L12" s="58">
        <v>0.98460000000000003</v>
      </c>
      <c r="M12" s="59">
        <f>IF(K12="","",AVERAGE(K12,K13)*AVERAGE(L12,L13))</f>
        <v>0.96924024000000009</v>
      </c>
      <c r="N12" s="59">
        <f>IF(M12="","",M12*2.54*2.54)</f>
        <v>6.253150332384001</v>
      </c>
      <c r="O12" s="60">
        <f>(SQRT(K12^2*2*$F$4^2+L12^2*2*$F$4^2))/M12</f>
        <v>5.0787202411175169E-4</v>
      </c>
      <c r="P12" s="2"/>
      <c r="Q12" s="40"/>
      <c r="R12" s="28"/>
      <c r="S12" s="52"/>
      <c r="T12" s="52"/>
      <c r="U12" s="29"/>
      <c r="V12" s="2"/>
      <c r="W12" s="40">
        <v>12.392300000000001</v>
      </c>
      <c r="X12" s="79">
        <v>12.392099999999999</v>
      </c>
      <c r="Y12" s="28"/>
      <c r="Z12" s="28"/>
      <c r="AA12" s="54"/>
      <c r="AB12" s="55"/>
      <c r="AC12" s="2"/>
      <c r="AD12" s="38">
        <f>Z11/N12</f>
        <v>1.9817370991104153</v>
      </c>
      <c r="AE12" s="39"/>
      <c r="AG12" s="38">
        <f>AD12/(G12/10)</f>
        <v>2.7964568327694734</v>
      </c>
      <c r="AH12" s="51"/>
      <c r="AI12" s="56"/>
    </row>
    <row r="13" spans="1:35" ht="16.5" thickBot="1">
      <c r="A13" s="36"/>
      <c r="B13" s="28"/>
      <c r="C13" s="28"/>
      <c r="D13" s="37"/>
      <c r="E13" s="2"/>
      <c r="F13" s="38"/>
      <c r="G13" s="49"/>
      <c r="H13" s="50"/>
      <c r="I13" s="39"/>
      <c r="J13" s="2"/>
      <c r="K13" s="57">
        <v>0.98440000000000005</v>
      </c>
      <c r="L13" s="58">
        <v>0.98460000000000003</v>
      </c>
      <c r="M13" s="59"/>
      <c r="N13" s="59"/>
      <c r="O13" s="60"/>
      <c r="P13" s="2"/>
      <c r="Q13" s="40"/>
      <c r="R13" s="28"/>
      <c r="S13" s="52"/>
      <c r="T13" s="52"/>
      <c r="U13" s="29"/>
      <c r="V13" s="2"/>
      <c r="W13" s="40"/>
      <c r="X13" s="28"/>
      <c r="Y13" s="28"/>
      <c r="Z13" s="28"/>
      <c r="AA13" s="54"/>
      <c r="AB13" s="55"/>
      <c r="AC13" s="2"/>
      <c r="AD13" s="38"/>
      <c r="AE13" s="39"/>
      <c r="AG13" s="38"/>
      <c r="AH13" s="51"/>
      <c r="AI13" s="56"/>
    </row>
    <row r="14" spans="1:35" s="3" customFormat="1">
      <c r="A14" s="80">
        <v>3</v>
      </c>
      <c r="B14" s="3" t="s">
        <v>42</v>
      </c>
      <c r="C14" s="3" t="s">
        <v>40</v>
      </c>
      <c r="D14" s="81"/>
      <c r="E14" s="2"/>
      <c r="F14" s="82">
        <v>0.14199999999999999</v>
      </c>
      <c r="G14" s="83">
        <f>IF(F14="","",F14*25.4)</f>
        <v>3.6067999999999993</v>
      </c>
      <c r="H14" s="84">
        <f>$G$4/G14</f>
        <v>1.7605633802816904E-3</v>
      </c>
      <c r="I14" s="85">
        <f>IF(G14="","",IF(C14="Al", G14/10/8.896, IF(C14="Pure Al", G14/10/8.896, IF(C14="C", G14/10/21.349, IF(C14="Be", G14/10/35.276, IF(C14="LH2", G14/10/871.902, ""))))))</f>
        <v>4.0544064748201429E-2</v>
      </c>
      <c r="J14" s="2"/>
      <c r="K14" s="82">
        <v>0.98399999999999999</v>
      </c>
      <c r="L14" s="86">
        <v>0.98399999999999999</v>
      </c>
      <c r="M14" s="87">
        <f>IF(K14="","",K14*L14)</f>
        <v>0.96825600000000001</v>
      </c>
      <c r="N14" s="87">
        <f>IF(M14="","",M14*2.54*2.54)</f>
        <v>6.2468004096000005</v>
      </c>
      <c r="O14" s="85">
        <f>(SQRT(K14^2*$L$4^2+L14^2*$K$4^2))/M14</f>
        <v>1.4372089048507064E-3</v>
      </c>
      <c r="P14" s="2"/>
      <c r="Q14" s="88">
        <v>0.1447</v>
      </c>
      <c r="R14" s="3">
        <v>0.1424</v>
      </c>
      <c r="S14" s="87">
        <f>AVERAGE(Q14:R14)</f>
        <v>0.14355000000000001</v>
      </c>
      <c r="T14" s="89">
        <f>STDEV(Q14:R14)</f>
        <v>1.6263455967290568E-3</v>
      </c>
      <c r="U14" s="85">
        <f>1/SQRT(COUNT(Q14:R14))*$Q$4/S14</f>
        <v>9.8517141231145599E-4</v>
      </c>
      <c r="V14" s="2"/>
      <c r="W14" s="88">
        <v>6.2807000000000004</v>
      </c>
      <c r="X14" s="3">
        <v>6.2805999999999997</v>
      </c>
      <c r="Y14" s="3">
        <v>6.2805999999999997</v>
      </c>
      <c r="Z14" s="3">
        <f t="shared" si="0"/>
        <v>6.2806333333333333</v>
      </c>
      <c r="AA14" s="90">
        <f t="shared" si="1"/>
        <v>5.7735026919340809E-5</v>
      </c>
      <c r="AB14" s="91">
        <f>1/SQRT(COUNT(W14:Y14))*$Y$4/Z14</f>
        <v>1.8385097124694195E-4</v>
      </c>
      <c r="AC14" s="2"/>
      <c r="AD14" s="82">
        <f>Z14/N14</f>
        <v>1.0054160404551007</v>
      </c>
      <c r="AE14" s="85">
        <f>SQRT((1/N14)^2*(AB14*Z14)^2 + (Z14/N14^2)^2*(O14*N14)^2)/AD14</f>
        <v>1.448920500169216E-3</v>
      </c>
      <c r="AG14" s="82">
        <f>AD14/(G14/10)</f>
        <v>2.7875569492489212</v>
      </c>
      <c r="AH14" s="86">
        <f>AD14/(S14*2.54)</f>
        <v>2.7574579365611056</v>
      </c>
      <c r="AI14" s="92">
        <f>AG14/AH14</f>
        <v>1.0109154929577466</v>
      </c>
    </row>
    <row r="15" spans="1:35" s="28" customFormat="1">
      <c r="A15" s="36"/>
      <c r="D15" s="37"/>
      <c r="E15" s="2"/>
      <c r="F15" s="38">
        <v>0.14180000000000001</v>
      </c>
      <c r="G15" s="49">
        <f>IF(F15="","",F15*25.4)</f>
        <v>3.6017200000000003</v>
      </c>
      <c r="H15" s="50">
        <f>$G$4/G15</f>
        <v>1.7630465444287728E-3</v>
      </c>
      <c r="I15" s="39" t="str">
        <f>IF(G15="","",IF(C15="Al", G15/10/8.896, IF(C15="Pure Al", G15/10/8.896, IF(C15="C", G15/10/21.349, IF(C15="Be", G15/10/35.276, IF(C15="LH2", G15/10/871.902, ""))))))</f>
        <v/>
      </c>
      <c r="J15" s="2"/>
      <c r="K15" s="57">
        <v>0.98460000000000003</v>
      </c>
      <c r="L15" s="58">
        <v>0.98419999999999996</v>
      </c>
      <c r="M15" s="59">
        <f>IF(K15="","",AVERAGE(K15,K16)*AVERAGE(L15,L16))</f>
        <v>0.96919101000000007</v>
      </c>
      <c r="N15" s="59">
        <f>IF(M15="","",M15*2.54*2.54)</f>
        <v>6.2528327201160012</v>
      </c>
      <c r="O15" s="60">
        <f>(SQRT(K15^2*2*$F$4^2+L15^2*2*$F$4^2))/M15</f>
        <v>5.0784623988461462E-4</v>
      </c>
      <c r="P15" s="2"/>
      <c r="Q15" s="40"/>
      <c r="S15" s="52"/>
      <c r="T15" s="53"/>
      <c r="U15" s="39"/>
      <c r="V15" s="2"/>
      <c r="W15" s="40">
        <v>6.2808999999999999</v>
      </c>
      <c r="X15" s="93">
        <v>6.2809999999999997</v>
      </c>
      <c r="AA15" s="54"/>
      <c r="AB15" s="55"/>
      <c r="AC15" s="2"/>
      <c r="AD15" s="38">
        <f>Z14/N15</f>
        <v>1.0044460829933759</v>
      </c>
      <c r="AE15" s="39"/>
      <c r="AG15" s="38">
        <f>AD15/(G15/10)</f>
        <v>2.7887955837582483</v>
      </c>
      <c r="AH15" s="51">
        <f>AD15/(S14*2.54)</f>
        <v>2.7547977274602551</v>
      </c>
      <c r="AI15" s="56">
        <f>AG15/AH15</f>
        <v>1.0123413258110014</v>
      </c>
    </row>
    <row r="16" spans="1:35" s="62" customFormat="1" ht="16.5" thickBot="1">
      <c r="A16" s="61"/>
      <c r="D16" s="63"/>
      <c r="E16" s="2"/>
      <c r="F16" s="64"/>
      <c r="G16" s="65"/>
      <c r="H16" s="66"/>
      <c r="I16" s="67"/>
      <c r="J16" s="2"/>
      <c r="K16" s="68">
        <v>0.98460000000000003</v>
      </c>
      <c r="L16" s="69">
        <v>0.98450000000000004</v>
      </c>
      <c r="M16" s="70"/>
      <c r="N16" s="70"/>
      <c r="O16" s="71"/>
      <c r="P16" s="2"/>
      <c r="Q16" s="72"/>
      <c r="S16" s="73"/>
      <c r="T16" s="74"/>
      <c r="U16" s="67"/>
      <c r="V16" s="2"/>
      <c r="W16" s="72"/>
      <c r="AA16" s="75"/>
      <c r="AB16" s="76"/>
      <c r="AC16" s="2"/>
      <c r="AD16" s="64"/>
      <c r="AE16" s="67"/>
      <c r="AG16" s="64"/>
      <c r="AH16" s="77"/>
      <c r="AI16" s="78"/>
    </row>
    <row r="17" spans="1:35">
      <c r="A17" s="36">
        <v>4</v>
      </c>
      <c r="B17" s="28" t="s">
        <v>43</v>
      </c>
      <c r="C17" s="28" t="s">
        <v>44</v>
      </c>
      <c r="D17" s="37" t="s">
        <v>124</v>
      </c>
      <c r="E17" s="2"/>
      <c r="F17" s="38">
        <f>AVERAGE(F68:F69) + AVERAGE(F71:F72) + AVERAGE(F74:F75)</f>
        <v>0.29659999999999997</v>
      </c>
      <c r="G17" s="49">
        <f>IF(F17="","",F17*25.4)</f>
        <v>7.5336399999999992</v>
      </c>
      <c r="H17" s="50">
        <f>2*$G$4/G17</f>
        <v>1.6857720836142955E-3</v>
      </c>
      <c r="I17" s="39">
        <f>IF(G17="","",IF(C17="Al", G17/10/8.896, IF(C17="Pure Al", G17/10/8.896, IF(C17="C", G17/10/21.349, IF(C17="Be", G17/10/35.276, IF(C17="LH2", G17/10/871.902, ""))))))</f>
        <v>3.5288022858213496E-2</v>
      </c>
      <c r="J17" s="2"/>
      <c r="K17" s="38">
        <f>AVERAGE(K69:K70,K72:K73,K75:K76)</f>
        <v>0.98311666666666664</v>
      </c>
      <c r="L17" s="38">
        <f>AVERAGE(L69:L70,L72:L73,L75:L76)</f>
        <v>0.98460000000000003</v>
      </c>
      <c r="M17" s="52">
        <f>IF(K17="","",K17*L17)</f>
        <v>0.96797666999999998</v>
      </c>
      <c r="N17" s="52">
        <f>IF(M17="","",M17*2.54*2.54)</f>
        <v>6.2449982841720004</v>
      </c>
      <c r="O17" s="39">
        <f>(SQRT(K17^2*$L$4^2+L17^2*$K$4^2))/M17</f>
        <v>1.4374170751377739E-3</v>
      </c>
      <c r="P17" s="2"/>
      <c r="Q17" s="38">
        <f>SUM(Q68:Q74)</f>
        <v>0.29730000000000001</v>
      </c>
      <c r="R17" s="28"/>
      <c r="S17" s="28"/>
      <c r="T17" s="28"/>
      <c r="U17" s="29"/>
      <c r="V17" s="2"/>
      <c r="W17" s="40">
        <f>SUM(W68:W76)</f>
        <v>8.2629999999999999</v>
      </c>
      <c r="X17" s="28">
        <f>SUM(X68:X76)</f>
        <v>8.2629000000000001</v>
      </c>
      <c r="Y17" s="28"/>
      <c r="Z17" s="28">
        <f t="shared" si="0"/>
        <v>8.26295</v>
      </c>
      <c r="AA17" s="54">
        <f t="shared" si="1"/>
        <v>7.0710678118489955E-5</v>
      </c>
      <c r="AB17" s="55">
        <f>1/SQRT(COUNT(W17:Y17))*SQRT(4)*$Y$4/Z17</f>
        <v>3.4230234053772443E-4</v>
      </c>
      <c r="AC17" s="2"/>
      <c r="AD17" s="38">
        <f>Z17/N17</f>
        <v>1.3231308679367479</v>
      </c>
      <c r="AE17" s="39">
        <f>SQRT((1/N17)^2*(AB17*Z17)^2 + (Z17/N17^2)^2*(O17*N17)^2)/AD17</f>
        <v>1.477612513562076E-3</v>
      </c>
      <c r="AG17" s="38">
        <f>AD17/(G17/10)</f>
        <v>1.7562969134930102</v>
      </c>
      <c r="AH17" s="51"/>
      <c r="AI17" s="29"/>
    </row>
    <row r="18" spans="1:35">
      <c r="A18" s="36"/>
      <c r="B18" s="28"/>
      <c r="C18" s="28"/>
      <c r="D18" s="37"/>
      <c r="E18" s="2"/>
      <c r="F18" s="38"/>
      <c r="G18" s="49"/>
      <c r="H18" s="50"/>
      <c r="I18" s="39"/>
      <c r="J18" s="2"/>
      <c r="K18" s="38"/>
      <c r="L18" s="51"/>
      <c r="M18" s="52"/>
      <c r="N18" s="52"/>
      <c r="O18" s="39"/>
      <c r="P18" s="2"/>
      <c r="Q18" s="38"/>
      <c r="R18" s="28"/>
      <c r="S18" s="28"/>
      <c r="T18" s="28"/>
      <c r="U18" s="29"/>
      <c r="V18" s="2"/>
      <c r="W18" s="40"/>
      <c r="X18" s="28"/>
      <c r="Y18" s="28"/>
      <c r="Z18" s="28"/>
      <c r="AA18" s="54"/>
      <c r="AB18" s="55"/>
      <c r="AC18" s="2"/>
      <c r="AD18" s="38"/>
      <c r="AE18" s="39"/>
      <c r="AG18" s="38"/>
      <c r="AH18" s="51"/>
      <c r="AI18" s="29"/>
    </row>
    <row r="19" spans="1:35" ht="16.5" thickBot="1">
      <c r="A19" s="36"/>
      <c r="B19" s="28"/>
      <c r="C19" s="28"/>
      <c r="D19" s="37"/>
      <c r="E19" s="2"/>
      <c r="F19" s="38"/>
      <c r="G19" s="49"/>
      <c r="H19" s="50"/>
      <c r="I19" s="39"/>
      <c r="J19" s="2"/>
      <c r="K19" s="38"/>
      <c r="L19" s="51"/>
      <c r="M19" s="52"/>
      <c r="N19" s="52"/>
      <c r="O19" s="39"/>
      <c r="P19" s="2"/>
      <c r="Q19" s="38"/>
      <c r="R19" s="28"/>
      <c r="S19" s="28"/>
      <c r="T19" s="28"/>
      <c r="U19" s="29"/>
      <c r="V19" s="2"/>
      <c r="W19" s="40"/>
      <c r="X19" s="28"/>
      <c r="Y19" s="28"/>
      <c r="Z19" s="28"/>
      <c r="AA19" s="54"/>
      <c r="AB19" s="55"/>
      <c r="AC19" s="2"/>
      <c r="AD19" s="38"/>
      <c r="AE19" s="39"/>
      <c r="AG19" s="38"/>
      <c r="AH19" s="51"/>
      <c r="AI19" s="29"/>
    </row>
    <row r="20" spans="1:35" s="3" customFormat="1">
      <c r="A20" s="80">
        <v>5</v>
      </c>
      <c r="B20" s="3" t="s">
        <v>46</v>
      </c>
      <c r="C20" s="3" t="s">
        <v>40</v>
      </c>
      <c r="D20" s="81"/>
      <c r="E20" s="2"/>
      <c r="F20" s="94">
        <f>0.05+0.013</f>
        <v>6.3E-2</v>
      </c>
      <c r="G20" s="83">
        <f>IF(F20="","",F20*25.4)</f>
        <v>1.6001999999999998</v>
      </c>
      <c r="H20" s="84">
        <f>$G$4/G20</f>
        <v>3.9682539682539689E-3</v>
      </c>
      <c r="I20" s="85">
        <f>IF(G20="","",IF(C20="Al", G20/10/8.896, IF(C20="Pure Al", G20/10/8.896, IF(C20="C", G20/10/21.349, IF(C20="Be", G20/10/35.276, IF(C20="LH2", G20/10/871.902, ""))))))</f>
        <v>1.7987859712230214E-2</v>
      </c>
      <c r="J20" s="2"/>
      <c r="K20" s="82">
        <v>0.98</v>
      </c>
      <c r="L20" s="86">
        <v>0.98099999999999998</v>
      </c>
      <c r="M20" s="87">
        <f>IF(K20="","",K20*L20 - 2*2/25.4/25.4)</f>
        <v>0.95517998759997524</v>
      </c>
      <c r="N20" s="87">
        <f>IF(M20="","",M20*2.54*2.54)</f>
        <v>6.1624392080000012</v>
      </c>
      <c r="O20" s="85">
        <f>(SQRT(K20^2*$L$4^2+L20^2*$K$4^2))/M20</f>
        <v>1.4517018742020815E-3</v>
      </c>
      <c r="P20" s="2"/>
      <c r="Q20" s="88"/>
      <c r="U20" s="4"/>
      <c r="V20" s="2"/>
      <c r="W20" s="88">
        <v>2.6888999999999998</v>
      </c>
      <c r="Z20" s="3">
        <f>AVERAGE(W20:Y20)</f>
        <v>2.6888999999999998</v>
      </c>
      <c r="AB20" s="91">
        <f>1/SQRT(COUNT(W20:Y20))*$Y$4/Z20</f>
        <v>7.4379857934471353E-4</v>
      </c>
      <c r="AC20" s="2"/>
      <c r="AD20" s="82">
        <f>Z20/N20</f>
        <v>0.43633696158970681</v>
      </c>
      <c r="AE20" s="85">
        <f>SQRT((1/N20)^2*(AB20*Z20)^2 + (Z20/N20^2)^2*(O20*N20)^2)/AD20</f>
        <v>1.6311574596577273E-3</v>
      </c>
      <c r="AG20" s="82">
        <f>AD20/(G20/10)</f>
        <v>2.7267651642901312</v>
      </c>
      <c r="AH20" s="86"/>
      <c r="AI20" s="4"/>
    </row>
    <row r="21" spans="1:35" s="28" customFormat="1">
      <c r="A21" s="36"/>
      <c r="D21" s="95"/>
      <c r="E21" s="2"/>
      <c r="F21" s="38">
        <v>6.2799999999999995E-2</v>
      </c>
      <c r="G21" s="49">
        <f>IF(F21="","",F21*25.4)</f>
        <v>1.5951199999999999</v>
      </c>
      <c r="H21" s="50">
        <f>$G$4/G21</f>
        <v>3.9808917197452229E-3</v>
      </c>
      <c r="I21" s="39" t="str">
        <f>IF(G21="","",IF(C21="Al", G21/10/8.896, IF(C21="Pure Al", G21/10/8.896, IF(C21="C", G21/10/21.349, IF(C21="Be", G21/10/35.276, IF(C21="LH2", G21/10/871.902, ""))))))</f>
        <v/>
      </c>
      <c r="J21" s="2"/>
      <c r="K21" s="57">
        <v>0.98099999999999998</v>
      </c>
      <c r="L21" s="58">
        <v>0.98050000000000004</v>
      </c>
      <c r="M21" s="59">
        <f>IF(K21="","",AVERAGE(K21*L21, K22*L22) - 2*2/25.4/25.4)</f>
        <v>0.95616098759997525</v>
      </c>
      <c r="N21" s="59">
        <f>IF(M21="","",M21*2.54*2.54)</f>
        <v>6.1687682276000011</v>
      </c>
      <c r="O21" s="60">
        <f>(SQRT(K21^2*2*$F$4^2+L21^2*2*$F$4^2))/M21</f>
        <v>5.1285821351335103E-4</v>
      </c>
      <c r="P21" s="2"/>
      <c r="Q21" s="40"/>
      <c r="U21" s="29"/>
      <c r="V21" s="2"/>
      <c r="W21" s="40"/>
      <c r="AB21" s="55"/>
      <c r="AC21" s="2"/>
      <c r="AD21" s="38">
        <f>Z20/N21</f>
        <v>0.43588928952938366</v>
      </c>
      <c r="AE21" s="39"/>
      <c r="AG21" s="38">
        <f>AD21/(G21/10)</f>
        <v>2.7326426195482703</v>
      </c>
      <c r="AH21" s="51"/>
      <c r="AI21" s="29"/>
    </row>
    <row r="22" spans="1:35" s="62" customFormat="1" ht="16.5" thickBot="1">
      <c r="A22" s="61"/>
      <c r="D22" s="96"/>
      <c r="E22" s="2"/>
      <c r="F22" s="64"/>
      <c r="G22" s="65"/>
      <c r="H22" s="66"/>
      <c r="I22" s="67"/>
      <c r="J22" s="2"/>
      <c r="K22" s="68">
        <v>0.98150000000000004</v>
      </c>
      <c r="L22" s="69">
        <v>0.98099999999999998</v>
      </c>
      <c r="M22" s="70"/>
      <c r="N22" s="70"/>
      <c r="O22" s="71"/>
      <c r="P22" s="2"/>
      <c r="Q22" s="72"/>
      <c r="U22" s="97"/>
      <c r="V22" s="2"/>
      <c r="W22" s="72"/>
      <c r="AB22" s="76"/>
      <c r="AC22" s="2"/>
      <c r="AD22" s="64"/>
      <c r="AE22" s="67"/>
      <c r="AG22" s="64"/>
      <c r="AH22" s="77"/>
      <c r="AI22" s="97"/>
    </row>
    <row r="23" spans="1:35">
      <c r="A23" s="36">
        <v>6</v>
      </c>
      <c r="B23" s="28" t="s">
        <v>47</v>
      </c>
      <c r="C23" s="28" t="s">
        <v>48</v>
      </c>
      <c r="D23" s="37"/>
      <c r="E23" s="2"/>
      <c r="F23" s="38"/>
      <c r="G23" s="49" t="str">
        <f>IF(F23="","",F23*25.4)</f>
        <v/>
      </c>
      <c r="H23" s="49"/>
      <c r="I23" s="39" t="str">
        <f>IF(G23="","",IF(C23="Al", G23/10/8.896, IF(C23="Pure Al", G23/10/8.896, IF(C23="C", G23/10/21.349, IF(C23="Be", G23/10/35.276, IF(C23="LH2", G23/10/871.902, ""))))))</f>
        <v/>
      </c>
      <c r="J23" s="2"/>
      <c r="K23" s="38"/>
      <c r="L23" s="51"/>
      <c r="M23" s="52" t="str">
        <f>IF(K23="","",K23*L23)</f>
        <v/>
      </c>
      <c r="N23" s="52" t="str">
        <f>IF(M23="","",M23*2.54*2.54)</f>
        <v/>
      </c>
      <c r="O23" s="98"/>
      <c r="P23" s="2"/>
      <c r="Q23" s="40"/>
      <c r="R23" s="28"/>
      <c r="S23" s="28"/>
      <c r="T23" s="28">
        <f>U8*S8</f>
        <v>1.4142135623730954E-4</v>
      </c>
      <c r="U23" s="29"/>
      <c r="V23" s="2"/>
      <c r="W23" s="40"/>
      <c r="X23" s="28"/>
      <c r="Y23" s="28"/>
      <c r="Z23" s="28"/>
      <c r="AA23" s="28"/>
      <c r="AB23" s="29"/>
      <c r="AC23" s="2"/>
      <c r="AD23" s="38"/>
      <c r="AE23" s="39"/>
      <c r="AG23" s="38"/>
      <c r="AH23" s="51"/>
      <c r="AI23" s="29"/>
    </row>
    <row r="24" spans="1:35">
      <c r="A24" s="36"/>
      <c r="B24" s="28"/>
      <c r="C24" s="28"/>
      <c r="D24" s="37"/>
      <c r="E24" s="2"/>
      <c r="F24" s="38"/>
      <c r="G24" s="49" t="str">
        <f>IF(F24="","",F24*25.4)</f>
        <v/>
      </c>
      <c r="H24" s="49"/>
      <c r="I24" s="39" t="str">
        <f>IF(G24="","",IF(C24="Al", G24/10/8.896, IF(C24="Pure Al", G24/10/8.896, IF(C24="C", G24/10/21.349, IF(C24="Be", G24/10/35.276, IF(C24="LH2", G24/10/871.902, ""))))))</f>
        <v/>
      </c>
      <c r="J24" s="2"/>
      <c r="K24" s="38"/>
      <c r="L24" s="51"/>
      <c r="M24" s="52" t="str">
        <f>IF(K24="","",K24*L24)</f>
        <v/>
      </c>
      <c r="N24" s="52" t="str">
        <f>IF(M24="","",M24*2.54*2.54)</f>
        <v/>
      </c>
      <c r="O24" s="98"/>
      <c r="P24" s="2"/>
      <c r="Q24" s="40"/>
      <c r="R24" s="28"/>
      <c r="S24" s="28"/>
      <c r="T24" s="28"/>
      <c r="U24" s="29"/>
      <c r="V24" s="2"/>
      <c r="W24" s="40"/>
      <c r="X24" s="28"/>
      <c r="Y24" s="28"/>
      <c r="Z24" s="28"/>
      <c r="AA24" s="28"/>
      <c r="AB24" s="29"/>
      <c r="AC24" s="2"/>
      <c r="AD24" s="40"/>
      <c r="AE24" s="29"/>
      <c r="AG24" s="38"/>
      <c r="AH24" s="51"/>
      <c r="AI24" s="29"/>
    </row>
    <row r="25" spans="1:35" ht="16.5" thickBot="1">
      <c r="A25" s="36"/>
      <c r="B25" s="28"/>
      <c r="C25" s="28"/>
      <c r="D25" s="37"/>
      <c r="E25" s="2"/>
      <c r="F25" s="38"/>
      <c r="G25" s="49"/>
      <c r="H25" s="49"/>
      <c r="I25" s="39"/>
      <c r="J25" s="2"/>
      <c r="K25" s="38"/>
      <c r="L25" s="51"/>
      <c r="M25" s="52"/>
      <c r="N25" s="52"/>
      <c r="O25" s="98"/>
      <c r="P25" s="2"/>
      <c r="Q25" s="40"/>
      <c r="R25" s="28"/>
      <c r="S25" s="28"/>
      <c r="T25" s="28"/>
      <c r="U25" s="29"/>
      <c r="V25" s="2"/>
      <c r="W25" s="40"/>
      <c r="X25" s="28"/>
      <c r="Y25" s="28"/>
      <c r="Z25" s="28"/>
      <c r="AA25" s="28"/>
      <c r="AB25" s="29"/>
      <c r="AC25" s="2"/>
      <c r="AD25" s="40"/>
      <c r="AE25" s="29"/>
      <c r="AG25" s="38"/>
      <c r="AH25" s="51"/>
      <c r="AI25" s="29"/>
    </row>
    <row r="26" spans="1:35" s="42" customFormat="1" ht="6.75" customHeight="1" thickBot="1">
      <c r="A26" s="41"/>
      <c r="D26" s="43"/>
      <c r="E26" s="44"/>
      <c r="F26" s="45"/>
      <c r="G26" s="99"/>
      <c r="H26" s="99"/>
      <c r="I26" s="46"/>
      <c r="J26" s="44"/>
      <c r="K26" s="45"/>
      <c r="L26" s="100"/>
      <c r="M26" s="101"/>
      <c r="N26" s="101"/>
      <c r="O26" s="102"/>
      <c r="P26" s="44"/>
      <c r="Q26" s="47"/>
      <c r="U26" s="48"/>
      <c r="V26" s="44"/>
      <c r="W26" s="47"/>
      <c r="AB26" s="48"/>
      <c r="AC26" s="44"/>
      <c r="AD26" s="47"/>
      <c r="AE26" s="48"/>
      <c r="AG26" s="45"/>
      <c r="AH26" s="100"/>
      <c r="AI26" s="48"/>
    </row>
    <row r="27" spans="1:35" s="28" customFormat="1">
      <c r="A27" s="36">
        <v>7</v>
      </c>
      <c r="B27" s="28" t="s">
        <v>49</v>
      </c>
      <c r="C27" s="28" t="s">
        <v>44</v>
      </c>
      <c r="D27" s="37"/>
      <c r="E27" s="2"/>
      <c r="F27" s="38">
        <v>9.8799999999999999E-2</v>
      </c>
      <c r="G27" s="49">
        <f>IF(F27="","",F27*25.4)</f>
        <v>2.5095199999999998</v>
      </c>
      <c r="H27" s="50">
        <f t="shared" ref="H27:H33" si="2">$G$4/G27</f>
        <v>2.5303643724696357E-3</v>
      </c>
      <c r="I27" s="39">
        <f>IF(G27="","",IF(C27="Al", G27/10/8.896, IF(C27="Pure Al", G27/10/8.896, IF(C27="C", G27/10/21.349, IF(C27="Be", G27/10/35.276, IF(C27="LH2", G27/10/871.902, ""))))))</f>
        <v>1.1754742610895121E-2</v>
      </c>
      <c r="J27" s="2"/>
      <c r="K27" s="38">
        <v>0.98299999999999998</v>
      </c>
      <c r="L27" s="51">
        <v>0.98399999999999999</v>
      </c>
      <c r="M27" s="52">
        <f>IF(K27="","",K27*L27)</f>
        <v>0.96727200000000002</v>
      </c>
      <c r="N27" s="52">
        <f>IF(M27="","",M27*2.54*2.54)</f>
        <v>6.2404520351999997</v>
      </c>
      <c r="O27" s="39">
        <f>(SQRT(K27^2*$L$4^2+L27^2*$K$4^2))/M27</f>
        <v>1.4379401226711544E-3</v>
      </c>
      <c r="P27" s="2"/>
      <c r="Q27" s="40"/>
      <c r="U27" s="29"/>
      <c r="V27" s="2"/>
      <c r="W27" s="40">
        <v>2.7606000000000002</v>
      </c>
      <c r="X27" s="28">
        <v>2.7603</v>
      </c>
      <c r="Z27" s="28">
        <f>AVERAGE(W27:Y27)</f>
        <v>2.7604500000000001</v>
      </c>
      <c r="AA27" s="54">
        <f>STDEV(W27:Y27)</f>
        <v>2.121320343560979E-4</v>
      </c>
      <c r="AB27" s="55">
        <f t="shared" ref="AB27:AB33" si="3">1/SQRT(COUNT(W27:Y27))*$Y$4/Z27</f>
        <v>5.1231268900834832E-4</v>
      </c>
      <c r="AC27" s="2"/>
      <c r="AD27" s="38">
        <f>Z27/N27</f>
        <v>0.44234776333979636</v>
      </c>
      <c r="AE27" s="39">
        <f>SQRT((1/N27)^2*(AB27*Z27)^2 + (Z27/N27^2)^2*(O27*N27)^2)/AD27</f>
        <v>1.5264783286068949E-3</v>
      </c>
      <c r="AG27" s="38">
        <f>AD27/(G27/10)</f>
        <v>1.762678772593151</v>
      </c>
      <c r="AH27" s="51"/>
      <c r="AI27" s="29"/>
    </row>
    <row r="28" spans="1:35" s="28" customFormat="1">
      <c r="A28" s="36"/>
      <c r="D28" s="37"/>
      <c r="E28" s="2"/>
      <c r="F28" s="38">
        <v>9.8799999999999999E-2</v>
      </c>
      <c r="G28" s="49">
        <f>IF(F28="","",F28*25.4)</f>
        <v>2.5095199999999998</v>
      </c>
      <c r="H28" s="50">
        <f>$G$4/G28</f>
        <v>2.5303643724696357E-3</v>
      </c>
      <c r="I28" s="39" t="str">
        <f>IF(G28="","",IF(C28="Al", G28/10/8.896, IF(C28="Pure Al", G28/10/8.896, IF(C28="C", G28/10/21.349, IF(C28="Be", G28/10/35.276, IF(C28="LH2", G28/10/871.902, ""))))))</f>
        <v/>
      </c>
      <c r="J28" s="2"/>
      <c r="K28" s="57">
        <v>0.98499999999999999</v>
      </c>
      <c r="L28" s="58">
        <v>0.98480000000000001</v>
      </c>
      <c r="M28" s="59">
        <f>IF(K28="","",AVERAGE(K28,K29)*AVERAGE(L28,L29))</f>
        <v>0.96987960000000006</v>
      </c>
      <c r="N28" s="59">
        <f>IF(M28="","",M28*2.54*2.54)</f>
        <v>6.2572752273600001</v>
      </c>
      <c r="O28" s="60">
        <f>(SQRT(K28^2*2*$F$4^2+L28^2*2*$F$4^2))/M28</f>
        <v>5.0774343798789948E-4</v>
      </c>
      <c r="P28" s="2"/>
      <c r="Q28" s="40"/>
      <c r="U28" s="29"/>
      <c r="V28" s="2"/>
      <c r="W28" s="40"/>
      <c r="AA28" s="54"/>
      <c r="AB28" s="55"/>
      <c r="AC28" s="2"/>
      <c r="AD28" s="38">
        <f>Z27/N28</f>
        <v>0.44115847548624748</v>
      </c>
      <c r="AE28" s="39"/>
      <c r="AG28" s="38">
        <f>AD28/(G28/10)</f>
        <v>1.7579396676904251</v>
      </c>
      <c r="AH28" s="51"/>
      <c r="AI28" s="29"/>
    </row>
    <row r="29" spans="1:35" s="62" customFormat="1" ht="16.5" thickBot="1">
      <c r="A29" s="61"/>
      <c r="D29" s="63"/>
      <c r="E29" s="2"/>
      <c r="F29" s="64"/>
      <c r="G29" s="65"/>
      <c r="H29" s="66"/>
      <c r="I29" s="67"/>
      <c r="J29" s="2"/>
      <c r="K29" s="68">
        <v>0.98299999999999998</v>
      </c>
      <c r="L29" s="69">
        <v>0.98650000000000004</v>
      </c>
      <c r="M29" s="70"/>
      <c r="N29" s="70"/>
      <c r="O29" s="71"/>
      <c r="P29" s="2"/>
      <c r="Q29" s="72"/>
      <c r="U29" s="97"/>
      <c r="V29" s="2"/>
      <c r="W29" s="72"/>
      <c r="AA29" s="75"/>
      <c r="AB29" s="76"/>
      <c r="AC29" s="2"/>
      <c r="AD29" s="64"/>
      <c r="AE29" s="67"/>
      <c r="AG29" s="64"/>
      <c r="AH29" s="77"/>
      <c r="AI29" s="97"/>
    </row>
    <row r="30" spans="1:35">
      <c r="A30" s="36">
        <v>8</v>
      </c>
      <c r="B30" s="28" t="s">
        <v>50</v>
      </c>
      <c r="C30" s="28" t="s">
        <v>40</v>
      </c>
      <c r="D30" s="37"/>
      <c r="E30" s="2"/>
      <c r="F30" s="103">
        <f>0.05+0.013</f>
        <v>6.3E-2</v>
      </c>
      <c r="G30" s="49">
        <f>IF(F30="","",F30*25.4)</f>
        <v>1.6001999999999998</v>
      </c>
      <c r="H30" s="50">
        <f t="shared" si="2"/>
        <v>3.9682539682539689E-3</v>
      </c>
      <c r="I30" s="39">
        <f>IF(G30="","",IF(C30="Al", G30/10/8.896, IF(C30="Pure Al", G30/10/8.896, IF(C30="C", G30/10/21.349, IF(C30="Be", G30/10/35.276, IF(C30="LH2", G30/10/871.902, ""))))))</f>
        <v>1.7987859712230214E-2</v>
      </c>
      <c r="J30" s="2"/>
      <c r="K30" s="38">
        <v>0.98</v>
      </c>
      <c r="L30" s="51">
        <v>0.98099999999999998</v>
      </c>
      <c r="M30" s="52">
        <f>IF(K30="","",K30*L30 - 2*2/25.4/25.4)</f>
        <v>0.95517998759997524</v>
      </c>
      <c r="N30" s="52">
        <f>IF(M30="","",M30*2.54*2.54)</f>
        <v>6.1624392080000012</v>
      </c>
      <c r="O30" s="39">
        <f>(SQRT(K30^2*$L$4^2+L30^2*$K$4^2))/M30</f>
        <v>1.4517018742020815E-3</v>
      </c>
      <c r="P30" s="2"/>
      <c r="Q30" s="40"/>
      <c r="R30" s="28"/>
      <c r="S30" s="28"/>
      <c r="T30" s="28"/>
      <c r="U30" s="29"/>
      <c r="V30" s="2"/>
      <c r="W30" s="40">
        <v>2.6871999999999998</v>
      </c>
      <c r="X30" s="28"/>
      <c r="Y30" s="28"/>
      <c r="Z30" s="28">
        <f>AVERAGE(W30:Y30)</f>
        <v>2.6871999999999998</v>
      </c>
      <c r="AA30" s="28"/>
      <c r="AB30" s="55">
        <f t="shared" si="3"/>
        <v>7.4426912771658241E-4</v>
      </c>
      <c r="AC30" s="2"/>
      <c r="AD30" s="38">
        <f>Z30/N30</f>
        <v>0.43606109679938271</v>
      </c>
      <c r="AE30" s="39">
        <f>SQRT((1/N30)^2*(AB30*Z30)^2 + (Z30/N30^2)^2*(O30*N30)^2)/AD30</f>
        <v>1.6313720808061654E-3</v>
      </c>
      <c r="AG30" s="38">
        <f>AD30/(G30/10)</f>
        <v>2.7250412248430367</v>
      </c>
      <c r="AH30" s="51"/>
      <c r="AI30" s="29"/>
    </row>
    <row r="31" spans="1:35">
      <c r="A31" s="36"/>
      <c r="B31" s="28"/>
      <c r="C31" s="28"/>
      <c r="D31" s="95"/>
      <c r="E31" s="2"/>
      <c r="F31" s="38">
        <v>6.2799999999999995E-2</v>
      </c>
      <c r="G31" s="49">
        <f>IF(F31="","",F31*25.4)</f>
        <v>1.5951199999999999</v>
      </c>
      <c r="H31" s="50">
        <f>$G$4/G31</f>
        <v>3.9808917197452229E-3</v>
      </c>
      <c r="I31" s="39" t="str">
        <f>IF(G31="","",IF(C31="Al", G31/10/8.896, IF(C31="Pure Al", G31/10/8.896, IF(C31="C", G31/10/21.349, IF(C31="Be", G31/10/35.276, IF(C31="LH2", G31/10/871.902, ""))))))</f>
        <v/>
      </c>
      <c r="J31" s="2"/>
      <c r="K31" s="57">
        <v>0.9798</v>
      </c>
      <c r="L31" s="58">
        <v>0.98099999999999998</v>
      </c>
      <c r="M31" s="59">
        <f>IF(K31="","",AVERAGE(K31*L31, K32*L32) - 2*2/25.4/25.4)</f>
        <v>0.95473883759997524</v>
      </c>
      <c r="N31" s="59">
        <f>IF(M31="","",M31*2.54*2.54)</f>
        <v>6.15959308466</v>
      </c>
      <c r="O31" s="60">
        <f>(SQRT(K31^2*2*$F$4^2+L31^2*2*$F$4^2))/M31</f>
        <v>5.1343893481019709E-4</v>
      </c>
      <c r="P31" s="2"/>
      <c r="Q31" s="40"/>
      <c r="R31" s="28"/>
      <c r="S31" s="28"/>
      <c r="T31" s="28"/>
      <c r="U31" s="29"/>
      <c r="V31" s="2"/>
      <c r="W31" s="40"/>
      <c r="X31" s="28"/>
      <c r="Y31" s="28"/>
      <c r="Z31" s="28"/>
      <c r="AA31" s="28"/>
      <c r="AB31" s="55"/>
      <c r="AC31" s="2"/>
      <c r="AD31" s="38">
        <f>Z30/N31</f>
        <v>0.43626258473019391</v>
      </c>
      <c r="AE31" s="39"/>
      <c r="AG31" s="38">
        <f>AD31/(G31/10)</f>
        <v>2.7349828522631148</v>
      </c>
      <c r="AH31" s="51"/>
      <c r="AI31" s="29"/>
    </row>
    <row r="32" spans="1:35" ht="16.5" thickBot="1">
      <c r="A32" s="36"/>
      <c r="B32" s="28"/>
      <c r="C32" s="28"/>
      <c r="D32" s="95"/>
      <c r="E32" s="2"/>
      <c r="F32" s="38"/>
      <c r="G32" s="49"/>
      <c r="H32" s="50"/>
      <c r="I32" s="39"/>
      <c r="J32" s="2"/>
      <c r="K32" s="57">
        <v>0.9798</v>
      </c>
      <c r="L32" s="58">
        <v>0.98050000000000004</v>
      </c>
      <c r="M32" s="59"/>
      <c r="N32" s="59"/>
      <c r="O32" s="60"/>
      <c r="P32" s="2"/>
      <c r="Q32" s="40"/>
      <c r="R32" s="28"/>
      <c r="S32" s="28"/>
      <c r="T32" s="28"/>
      <c r="U32" s="29"/>
      <c r="V32" s="2"/>
      <c r="W32" s="40"/>
      <c r="X32" s="28"/>
      <c r="Y32" s="28"/>
      <c r="Z32" s="28"/>
      <c r="AA32" s="28"/>
      <c r="AB32" s="55"/>
      <c r="AC32" s="2"/>
      <c r="AD32" s="38"/>
      <c r="AE32" s="39"/>
      <c r="AG32" s="38"/>
      <c r="AH32" s="51"/>
      <c r="AI32" s="29"/>
    </row>
    <row r="33" spans="1:35" s="3" customFormat="1">
      <c r="A33" s="80">
        <v>9</v>
      </c>
      <c r="B33" s="3" t="s">
        <v>51</v>
      </c>
      <c r="C33" s="3" t="s">
        <v>40</v>
      </c>
      <c r="D33" s="81"/>
      <c r="E33" s="2"/>
      <c r="F33" s="94">
        <f>0.05+0.0135</f>
        <v>6.3500000000000001E-2</v>
      </c>
      <c r="G33" s="83">
        <f>IF(F33="","",F33*25.4)</f>
        <v>1.6129</v>
      </c>
      <c r="H33" s="84">
        <f t="shared" si="2"/>
        <v>3.937007874015748E-3</v>
      </c>
      <c r="I33" s="85">
        <f>IF(G33="","",IF(C33="Al", G33/10/8.896, IF(C33="Pure Al", G33/10/8.896, IF(C33="C", G33/10/21.349, IF(C33="Be", G33/10/35.276, IF(C33="LH2", G33/10/871.902, ""))))))</f>
        <v>1.8130620503597119E-2</v>
      </c>
      <c r="J33" s="2"/>
      <c r="K33" s="82">
        <v>0.98</v>
      </c>
      <c r="L33" s="86">
        <v>0.98099999999999998</v>
      </c>
      <c r="M33" s="87">
        <f>IF(K33="","",K33*L33 - PI()*0.5^2/4)</f>
        <v>0.76503045915063794</v>
      </c>
      <c r="N33" s="87">
        <f>IF(M33="","",M33*2.54*2.54)</f>
        <v>4.9356705102562559</v>
      </c>
      <c r="O33" s="85">
        <f>(SQRT(K33^2*$L$4^2+L33^2*$K$4^2))/M33</f>
        <v>1.8125246669769132E-3</v>
      </c>
      <c r="P33" s="2"/>
      <c r="Q33" s="88"/>
      <c r="U33" s="4"/>
      <c r="V33" s="2"/>
      <c r="W33" s="88">
        <v>2.1501999999999999</v>
      </c>
      <c r="Z33" s="3">
        <f>AVERAGE(W33:Y33)</f>
        <v>2.1501999999999999</v>
      </c>
      <c r="AB33" s="91">
        <f t="shared" si="3"/>
        <v>9.3014603292716964E-4</v>
      </c>
      <c r="AC33" s="2"/>
      <c r="AD33" s="82">
        <f>Z33/N33</f>
        <v>0.43564496364413174</v>
      </c>
      <c r="AE33" s="85">
        <f>SQRT((1/N33)^2*(AB33*Z33)^2 + (Z33/N33^2)^2*(O33*N33)^2)/AD33</f>
        <v>2.0372573011207796E-3</v>
      </c>
      <c r="AG33" s="82">
        <f>AD33/(G33/10)</f>
        <v>2.7010041766019701</v>
      </c>
      <c r="AH33" s="86"/>
      <c r="AI33" s="4"/>
    </row>
    <row r="34" spans="1:35" s="28" customFormat="1">
      <c r="A34" s="36"/>
      <c r="D34" s="95"/>
      <c r="E34" s="2"/>
      <c r="F34" s="38">
        <v>6.2799999999999995E-2</v>
      </c>
      <c r="G34" s="49">
        <f>IF(F34="","",F34*25.4)</f>
        <v>1.5951199999999999</v>
      </c>
      <c r="H34" s="50">
        <f>$G$4/G34</f>
        <v>3.9808917197452229E-3</v>
      </c>
      <c r="I34" s="39" t="str">
        <f>IF(G34="","",IF(C34="Al", G34/10/8.896, IF(C34="Pure Al", G34/10/8.896, IF(C34="C", G34/10/21.349, IF(C34="Be", G34/10/35.276, IF(C34="LH2", G34/10/871.902, ""))))))</f>
        <v/>
      </c>
      <c r="J34" s="2"/>
      <c r="K34" s="57">
        <v>0.98050000000000004</v>
      </c>
      <c r="L34" s="58">
        <v>0.98099999999999998</v>
      </c>
      <c r="M34" s="59">
        <f>IF(K34="","",AVERAGE(K34*L34,K35*L35) - PI()*0.5^2/4)</f>
        <v>0.76576608415063796</v>
      </c>
      <c r="N34" s="59">
        <f>IF(M34="","",M34*2.54*2.54)</f>
        <v>4.9404164685062559</v>
      </c>
      <c r="O34" s="60">
        <f>(SQRT(K34^2*2*$F$4^2+L34^2*2*$F$4^2))/M34</f>
        <v>6.4037181337900622E-4</v>
      </c>
      <c r="P34" s="2"/>
      <c r="Q34" s="40"/>
      <c r="U34" s="29"/>
      <c r="V34" s="2"/>
      <c r="W34" s="40"/>
      <c r="AB34" s="55"/>
      <c r="AC34" s="2"/>
      <c r="AD34" s="38">
        <f>Z33/N34</f>
        <v>0.43522646596838765</v>
      </c>
      <c r="AE34" s="39"/>
      <c r="AG34" s="38">
        <f>AD34/(G34/10)</f>
        <v>2.7284872985630404</v>
      </c>
      <c r="AH34" s="51"/>
      <c r="AI34" s="29"/>
    </row>
    <row r="35" spans="1:35" s="62" customFormat="1" ht="16.5" thickBot="1">
      <c r="A35" s="61"/>
      <c r="D35" s="96"/>
      <c r="E35" s="2"/>
      <c r="F35" s="64"/>
      <c r="G35" s="65"/>
      <c r="H35" s="66"/>
      <c r="I35" s="67"/>
      <c r="J35" s="2"/>
      <c r="K35" s="68">
        <v>0.98050000000000004</v>
      </c>
      <c r="L35" s="69">
        <v>0.98150000000000004</v>
      </c>
      <c r="M35" s="70"/>
      <c r="N35" s="70"/>
      <c r="O35" s="71"/>
      <c r="P35" s="2"/>
      <c r="Q35" s="72"/>
      <c r="U35" s="97"/>
      <c r="V35" s="2"/>
      <c r="W35" s="72"/>
      <c r="AB35" s="76"/>
      <c r="AC35" s="2"/>
      <c r="AD35" s="64"/>
      <c r="AE35" s="67"/>
      <c r="AG35" s="64"/>
      <c r="AH35" s="77"/>
      <c r="AI35" s="97"/>
    </row>
    <row r="36" spans="1:35">
      <c r="A36" s="36">
        <v>10</v>
      </c>
      <c r="B36" s="28" t="s">
        <v>52</v>
      </c>
      <c r="C36" s="28" t="s">
        <v>40</v>
      </c>
      <c r="D36" s="37" t="s">
        <v>45</v>
      </c>
      <c r="E36" s="2"/>
      <c r="F36" s="38">
        <f>AVERAGE(F84:F85) + AVERAGE(F87:F88) + AVERAGE(F90:F91) + AVERAGE(F93:F94)</f>
        <v>0.16200000000000001</v>
      </c>
      <c r="G36" s="49">
        <f t="shared" ref="G36:G65" si="4">IF(F36="","",F36*25.4)</f>
        <v>4.1147999999999998</v>
      </c>
      <c r="H36" s="50">
        <f>2*$G$4/G36</f>
        <v>3.0864197530864196E-3</v>
      </c>
      <c r="I36" s="39">
        <f>IF(G36="","",IF(C36="Al", G36/10/8.896, IF(C36="Pure Al", G36/10/8.896, IF(C36="C", G36/10/21.349, IF(C36="Be", G36/10/35.276, IF(C36="LH2", G36/10/871.902, ""))))))</f>
        <v>4.6254496402877689E-2</v>
      </c>
      <c r="J36" s="2"/>
      <c r="K36" s="38">
        <f>AVERAGE(K85:K86,K88:K89,K91:K92,K94:K95)</f>
        <v>0.9927625000000001</v>
      </c>
      <c r="L36" s="38">
        <f>AVERAGE(L85:L86,L88:L89,L91:L92,L94:L95)</f>
        <v>0.99768750000000006</v>
      </c>
      <c r="M36" s="52">
        <f>IF(K36="","",K36*L36)</f>
        <v>0.99046673671875018</v>
      </c>
      <c r="N36" s="52">
        <f>IF(M36="","",M36*2.54*2.54)</f>
        <v>6.3900951986146888</v>
      </c>
      <c r="O36" s="39">
        <f>(SQRT(K36^2*$L$4^2+L36^2*$K$4^2))/M36</f>
        <v>1.4210118813991807E-3</v>
      </c>
      <c r="P36" s="2"/>
      <c r="Q36" s="40"/>
      <c r="R36" s="28"/>
      <c r="S36" s="28"/>
      <c r="T36" s="28"/>
      <c r="U36" s="29"/>
      <c r="V36" s="2"/>
      <c r="W36" s="40">
        <f>SUM(W84:W93)</f>
        <v>6.9314</v>
      </c>
      <c r="X36" s="28">
        <f>SUM(X84:X93)</f>
        <v>6.9308000000000005</v>
      </c>
      <c r="Y36" s="28"/>
      <c r="Z36" s="28">
        <f>AVERAGE(W36:Y36)</f>
        <v>6.9311000000000007</v>
      </c>
      <c r="AA36" s="54">
        <f>STDEV(W36:Y36)</f>
        <v>4.2426406871156778E-4</v>
      </c>
      <c r="AB36" s="55">
        <f>1/SQRT(COUNT(W36:Y36))*SQRT(4)*$Y$4/Z36</f>
        <v>4.0807766801029992E-4</v>
      </c>
      <c r="AC36" s="2"/>
      <c r="AD36" s="38">
        <f>Z36/N36</f>
        <v>1.0846630268517121</v>
      </c>
      <c r="AE36" s="39">
        <f>SQRT((1/N36)^2*(AB36*Z36)^2 + (Z36/N36^2)^2*(O36*N36)^2)/AD36</f>
        <v>1.4784458563661923E-3</v>
      </c>
      <c r="AG36" s="38">
        <f>AD36/(G36/10)</f>
        <v>2.6360042452894725</v>
      </c>
      <c r="AH36" s="51"/>
      <c r="AI36" s="29"/>
    </row>
    <row r="37" spans="1:35">
      <c r="A37" s="36"/>
      <c r="B37" s="28"/>
      <c r="C37" s="28"/>
      <c r="D37" s="37"/>
      <c r="E37" s="2"/>
      <c r="F37" s="38"/>
      <c r="G37" s="49"/>
      <c r="H37" s="50"/>
      <c r="I37" s="39"/>
      <c r="J37" s="2"/>
      <c r="K37" s="38"/>
      <c r="L37" s="51"/>
      <c r="M37" s="52"/>
      <c r="N37" s="52"/>
      <c r="O37" s="39"/>
      <c r="P37" s="2"/>
      <c r="Q37" s="40"/>
      <c r="R37" s="28"/>
      <c r="S37" s="28"/>
      <c r="T37" s="28"/>
      <c r="U37" s="29"/>
      <c r="V37" s="2"/>
      <c r="W37" s="40"/>
      <c r="X37" s="28"/>
      <c r="Y37" s="28"/>
      <c r="Z37" s="28"/>
      <c r="AA37" s="54"/>
      <c r="AB37" s="55"/>
      <c r="AC37" s="2"/>
      <c r="AD37" s="38"/>
      <c r="AE37" s="39"/>
      <c r="AG37" s="38"/>
      <c r="AH37" s="51"/>
      <c r="AI37" s="29"/>
    </row>
    <row r="38" spans="1:35" ht="16.5" thickBot="1">
      <c r="A38" s="36"/>
      <c r="B38" s="28"/>
      <c r="C38" s="28"/>
      <c r="D38" s="37"/>
      <c r="E38" s="2"/>
      <c r="F38" s="38"/>
      <c r="G38" s="49"/>
      <c r="H38" s="50"/>
      <c r="I38" s="39"/>
      <c r="J38" s="2"/>
      <c r="K38" s="38"/>
      <c r="L38" s="51"/>
      <c r="M38" s="52"/>
      <c r="N38" s="52"/>
      <c r="O38" s="39"/>
      <c r="P38" s="2"/>
      <c r="Q38" s="40"/>
      <c r="R38" s="28"/>
      <c r="S38" s="28"/>
      <c r="T38" s="28"/>
      <c r="U38" s="29"/>
      <c r="V38" s="2"/>
      <c r="W38" s="40"/>
      <c r="X38" s="28"/>
      <c r="Y38" s="28"/>
      <c r="Z38" s="28"/>
      <c r="AA38" s="54"/>
      <c r="AB38" s="55"/>
      <c r="AC38" s="2"/>
      <c r="AD38" s="38"/>
      <c r="AE38" s="39"/>
      <c r="AG38" s="38"/>
      <c r="AH38" s="51"/>
      <c r="AI38" s="29"/>
    </row>
    <row r="39" spans="1:35" s="105" customFormat="1" ht="16.5" thickBot="1">
      <c r="A39" s="104">
        <v>11</v>
      </c>
      <c r="B39" s="105" t="s">
        <v>53</v>
      </c>
      <c r="D39" s="106"/>
      <c r="E39" s="2"/>
      <c r="F39" s="107"/>
      <c r="G39" s="108" t="str">
        <f t="shared" si="4"/>
        <v/>
      </c>
      <c r="H39" s="108"/>
      <c r="I39" s="109" t="str">
        <f>IF(G39="","",IF(C39="Al", G39/10/8.896, IF(C39="Pure Al", G39/10/8.896, IF(C39="C", G39/10/21.349, IF(C39="Be", G39/10/35.276, IF(C39="LH2", G39/10/871.902, ""))))))</f>
        <v/>
      </c>
      <c r="J39" s="2"/>
      <c r="K39" s="107"/>
      <c r="L39" s="110"/>
      <c r="M39" s="111" t="str">
        <f>IF(K39="","",K39*L39)</f>
        <v/>
      </c>
      <c r="N39" s="111" t="str">
        <f>IF(M39="","",M39*2.54*2.54)</f>
        <v/>
      </c>
      <c r="O39" s="112"/>
      <c r="P39" s="2"/>
      <c r="Q39" s="113"/>
      <c r="U39" s="114"/>
      <c r="V39" s="2"/>
      <c r="W39" s="113"/>
      <c r="AB39" s="114"/>
      <c r="AC39" s="2"/>
      <c r="AD39" s="113"/>
      <c r="AE39" s="114"/>
      <c r="AG39" s="107"/>
      <c r="AH39" s="110"/>
      <c r="AI39" s="114"/>
    </row>
    <row r="40" spans="1:35">
      <c r="A40" s="36">
        <v>12</v>
      </c>
      <c r="B40" s="28" t="s">
        <v>54</v>
      </c>
      <c r="C40" s="28" t="s">
        <v>55</v>
      </c>
      <c r="D40" s="37" t="s">
        <v>56</v>
      </c>
      <c r="E40" s="2"/>
      <c r="F40" s="38">
        <f>0.05+0.0107</f>
        <v>6.0700000000000004E-2</v>
      </c>
      <c r="G40" s="49">
        <f t="shared" si="4"/>
        <v>1.5417799999999999</v>
      </c>
      <c r="H40" s="49"/>
      <c r="I40" s="39" t="str">
        <f>IF(G40="","",IF(C40="Al", G40/10/8.896, IF(C40="Pure Al", G40/10/8.896, IF(C40="C", G40/10/21.349, IF(C40="Be", G40/10/35.276, IF(C40="LH2", G40/10/871.902, ""))))))</f>
        <v/>
      </c>
      <c r="J40" s="2"/>
      <c r="K40" s="38">
        <v>1.008</v>
      </c>
      <c r="L40" s="51">
        <v>1.008</v>
      </c>
      <c r="M40" s="52">
        <f>IF(K40="","",K40*L40)</f>
        <v>1.0160640000000001</v>
      </c>
      <c r="N40" s="52">
        <f>IF(M40="","",M40*2.54*2.54)</f>
        <v>6.5552385024000008</v>
      </c>
      <c r="O40" s="39">
        <f>(SQRT(K40^2*$L$4^2+L40^2*$K$4^2))/M40</f>
        <v>1.4029896452114037E-3</v>
      </c>
      <c r="P40" s="2"/>
      <c r="Q40" s="40"/>
      <c r="R40" s="28"/>
      <c r="S40" s="28"/>
      <c r="T40" s="28"/>
      <c r="U40" s="29"/>
      <c r="V40" s="2"/>
      <c r="W40" s="40">
        <v>2.8573</v>
      </c>
      <c r="X40" s="28">
        <v>2.8573</v>
      </c>
      <c r="Y40" s="28"/>
      <c r="Z40" s="28">
        <f>AVERAGE(W40:Y40)</f>
        <v>2.8573</v>
      </c>
      <c r="AA40" s="54">
        <f>STDEV(W40:Y40)</f>
        <v>0</v>
      </c>
      <c r="AB40" s="55">
        <f>1/SQRT(COUNT(W40:Y40))*SQRT(4)*$Y$4/Z40</f>
        <v>9.8989504943344775E-4</v>
      </c>
      <c r="AC40" s="2"/>
      <c r="AD40" s="40"/>
      <c r="AE40" s="29"/>
      <c r="AG40" s="38"/>
      <c r="AH40" s="51"/>
      <c r="AI40" s="29"/>
    </row>
    <row r="41" spans="1:35">
      <c r="A41" s="36"/>
      <c r="B41" s="28"/>
      <c r="C41" s="28"/>
      <c r="D41" s="37"/>
      <c r="E41" s="2"/>
      <c r="F41" s="38">
        <v>6.0600000000000001E-2</v>
      </c>
      <c r="G41" s="49">
        <f t="shared" si="4"/>
        <v>1.5392399999999999</v>
      </c>
      <c r="H41" s="50">
        <f>$G$4/G41</f>
        <v>4.125412541254125E-3</v>
      </c>
      <c r="I41" s="39" t="str">
        <f>IF(G41="","",IF(C41="Al", G41/10/8.896, IF(C41="Pure Al", G41/10/8.896, IF(C41="C", G41/10/21.349, IF(C41="Be", G41/10/35.276, IF(C41="LH2", G41/10/871.902, ""))))))</f>
        <v/>
      </c>
      <c r="J41" s="2"/>
      <c r="K41" s="57">
        <v>1.0069999999999999</v>
      </c>
      <c r="L41" s="58">
        <v>1.0077</v>
      </c>
      <c r="M41" s="59">
        <f>IF(K41="","",AVERAGE(K41,K42)*AVERAGE(L41,L42))</f>
        <v>1.0150561600000001</v>
      </c>
      <c r="N41" s="59">
        <f>IF(M41="","",M41*2.54*2.54)</f>
        <v>6.5487363218560004</v>
      </c>
      <c r="O41" s="60">
        <f>(SQRT(K41^2*2*$F$4^2+L41^2*2*$F$4^2))/M41</f>
        <v>4.9620410204844986E-4</v>
      </c>
      <c r="P41" s="2"/>
      <c r="Q41" s="40"/>
      <c r="R41" s="28"/>
      <c r="S41" s="28"/>
      <c r="T41" s="28"/>
      <c r="U41" s="29"/>
      <c r="V41" s="2"/>
      <c r="W41" s="40"/>
      <c r="X41" s="28"/>
      <c r="Y41" s="28"/>
      <c r="Z41" s="28"/>
      <c r="AA41" s="28"/>
      <c r="AB41" s="29"/>
      <c r="AC41" s="2"/>
      <c r="AD41" s="40"/>
      <c r="AE41" s="29"/>
      <c r="AG41" s="38"/>
      <c r="AH41" s="51"/>
      <c r="AI41" s="29"/>
    </row>
    <row r="42" spans="1:35" ht="16.5" thickBot="1">
      <c r="A42" s="36"/>
      <c r="B42" s="28"/>
      <c r="C42" s="28"/>
      <c r="D42" s="37"/>
      <c r="E42" s="2"/>
      <c r="F42" s="38"/>
      <c r="G42" s="49"/>
      <c r="H42" s="49"/>
      <c r="I42" s="39"/>
      <c r="J42" s="2"/>
      <c r="K42" s="57">
        <v>1.0085999999999999</v>
      </c>
      <c r="L42" s="58">
        <v>1.0066999999999999</v>
      </c>
      <c r="M42" s="59"/>
      <c r="N42" s="59"/>
      <c r="O42" s="60"/>
      <c r="P42" s="2"/>
      <c r="Q42" s="40"/>
      <c r="R42" s="28"/>
      <c r="S42" s="28"/>
      <c r="T42" s="28"/>
      <c r="U42" s="29"/>
      <c r="V42" s="2"/>
      <c r="W42" s="40"/>
      <c r="X42" s="28"/>
      <c r="Y42" s="28"/>
      <c r="Z42" s="28"/>
      <c r="AA42" s="28"/>
      <c r="AB42" s="29"/>
      <c r="AC42" s="2"/>
      <c r="AD42" s="40"/>
      <c r="AE42" s="29"/>
      <c r="AG42" s="38"/>
      <c r="AH42" s="51"/>
      <c r="AI42" s="29"/>
    </row>
    <row r="43" spans="1:35" s="3" customFormat="1">
      <c r="A43" s="80">
        <v>13</v>
      </c>
      <c r="B43" s="3" t="s">
        <v>57</v>
      </c>
      <c r="C43" s="3" t="s">
        <v>40</v>
      </c>
      <c r="D43" s="81" t="s">
        <v>56</v>
      </c>
      <c r="E43" s="2"/>
      <c r="F43" s="94">
        <f>0.05+0.021</f>
        <v>7.1000000000000008E-2</v>
      </c>
      <c r="G43" s="83">
        <f t="shared" si="4"/>
        <v>1.8034000000000001</v>
      </c>
      <c r="H43" s="84">
        <f t="shared" ref="H43:H49" si="5">$G$4/G43</f>
        <v>3.5211267605633799E-3</v>
      </c>
      <c r="I43" s="85">
        <f>IF(G43="","",IF(C43="Al", G43/10/8.896, IF(C43="Pure Al", G43/10/8.896, IF(C43="C", G43/10/21.349, IF(C43="Be", G43/10/35.276, IF(C43="LH2", G43/10/871.902, ""))))))</f>
        <v>2.0272032374100718E-2</v>
      </c>
      <c r="J43" s="2"/>
      <c r="K43" s="82">
        <v>0.98399999999999999</v>
      </c>
      <c r="L43" s="86">
        <v>0.98399999999999999</v>
      </c>
      <c r="M43" s="87">
        <f>IF(K43="","",K43*L43)</f>
        <v>0.96825600000000001</v>
      </c>
      <c r="N43" s="87">
        <f>IF(M43="","",M43*2.54*2.54)</f>
        <v>6.2468004096000005</v>
      </c>
      <c r="O43" s="85">
        <f>(SQRT(K43^2*$L$4^2+L43^2*$K$4^2))/M43</f>
        <v>1.4372089048507064E-3</v>
      </c>
      <c r="P43" s="2"/>
      <c r="Q43" s="82">
        <v>7.0800000000000002E-2</v>
      </c>
      <c r="R43" s="86">
        <v>7.0599999999999996E-2</v>
      </c>
      <c r="S43" s="87">
        <f t="shared" ref="S43:S49" si="6">AVERAGE(Q43:R43)</f>
        <v>7.0699999999999999E-2</v>
      </c>
      <c r="T43" s="89">
        <f t="shared" ref="T43:T49" si="7">STDEV(Q43:R43)</f>
        <v>1.4142135623731355E-4</v>
      </c>
      <c r="U43" s="85">
        <f t="shared" ref="U43:U49" si="8">1/SQRT(COUNT(Q43:R43))*$Q$4/S43</f>
        <v>2.0003020684202194E-3</v>
      </c>
      <c r="V43" s="2"/>
      <c r="W43" s="82">
        <v>3.1360000000000001</v>
      </c>
      <c r="X43" s="86">
        <v>3.1360999999999999</v>
      </c>
      <c r="Y43" s="86">
        <v>3.1358999999999999</v>
      </c>
      <c r="Z43" s="3">
        <f t="shared" ref="Z43:Z49" si="9">AVERAGE(W43:Y43)</f>
        <v>3.1359999999999997</v>
      </c>
      <c r="AA43" s="90">
        <f t="shared" ref="AA43:AA49" si="10">STDEV(W43:Y43)</f>
        <v>9.9999999999988987E-5</v>
      </c>
      <c r="AB43" s="91">
        <f t="shared" ref="AB43:AB49" si="11">SQRT(COUNT(W43:Y43))*$Y$4/Z43</f>
        <v>1.1046242395209677E-3</v>
      </c>
      <c r="AC43" s="2"/>
      <c r="AD43" s="82">
        <f t="shared" ref="AD43:AD49" si="12">Z43/N43</f>
        <v>0.50201699980371328</v>
      </c>
      <c r="AE43" s="85">
        <f t="shared" ref="AE43:AE49" si="13">SQRT((1/N43)^2*(AB43*Z43)^2 + (Z43/N43^2)^2*(O43*N43)^2)/AD43</f>
        <v>1.8126676878897144E-3</v>
      </c>
      <c r="AG43" s="82">
        <f t="shared" ref="AG43:AG49" si="14">AD43/(G43/10)</f>
        <v>2.783725184671805</v>
      </c>
      <c r="AH43" s="86">
        <f t="shared" ref="AH43:AH49" si="15">AD43/(S43*2.54)</f>
        <v>2.7955373141682909</v>
      </c>
      <c r="AI43" s="92">
        <f t="shared" ref="AI43:AI49" si="16">AG43/AH43</f>
        <v>0.99577464788732384</v>
      </c>
    </row>
    <row r="44" spans="1:35" s="28" customFormat="1">
      <c r="A44" s="36"/>
      <c r="D44" s="95"/>
      <c r="E44" s="2"/>
      <c r="F44" s="38">
        <v>7.0999999999999994E-2</v>
      </c>
      <c r="G44" s="49">
        <f t="shared" si="4"/>
        <v>1.8033999999999997</v>
      </c>
      <c r="H44" s="50">
        <f>$G$4/G44</f>
        <v>3.5211267605633808E-3</v>
      </c>
      <c r="I44" s="39" t="str">
        <f>IF(G44="","",IF(C44="Al", G44/10/8.896, IF(C44="Pure Al", G44/10/8.896, IF(C44="C", G44/10/21.349, IF(C44="Be", G44/10/35.276, IF(C44="LH2", G44/10/871.902, ""))))))</f>
        <v/>
      </c>
      <c r="J44" s="2"/>
      <c r="K44" s="57">
        <v>0.98450000000000004</v>
      </c>
      <c r="L44" s="58">
        <v>0.98470000000000002</v>
      </c>
      <c r="M44" s="59">
        <f>IF(K44="","",AVERAGE(K44,K45)*AVERAGE(L44,L45))</f>
        <v>0.96938789999999997</v>
      </c>
      <c r="N44" s="59">
        <f>IF(M44="","",M44*2.54*2.54)</f>
        <v>6.2541029756400004</v>
      </c>
      <c r="O44" s="60">
        <f>(SQRT(K44^2*2*$F$4^2+L44^2*2*$F$4^2))/M44</f>
        <v>5.0784624249910917E-4</v>
      </c>
      <c r="P44" s="2"/>
      <c r="Q44" s="38"/>
      <c r="R44" s="51"/>
      <c r="S44" s="52"/>
      <c r="T44" s="53"/>
      <c r="U44" s="39"/>
      <c r="V44" s="2"/>
      <c r="W44" s="38"/>
      <c r="X44" s="51"/>
      <c r="Y44" s="51"/>
      <c r="AA44" s="54"/>
      <c r="AB44" s="55"/>
      <c r="AC44" s="2"/>
      <c r="AD44" s="38">
        <f>Z43/N44</f>
        <v>0.50143082264792482</v>
      </c>
      <c r="AE44" s="39"/>
      <c r="AG44" s="38">
        <f>AD44/(G44/10)</f>
        <v>2.7804747845620765</v>
      </c>
      <c r="AH44" s="51">
        <f>AD44/(S43*2.54)</f>
        <v>2.7922731216960033</v>
      </c>
      <c r="AI44" s="56">
        <f>AG44/AH44</f>
        <v>0.99577464788732395</v>
      </c>
    </row>
    <row r="45" spans="1:35" s="62" customFormat="1" ht="16.5" thickBot="1">
      <c r="A45" s="61"/>
      <c r="D45" s="96"/>
      <c r="E45" s="2"/>
      <c r="F45" s="64"/>
      <c r="G45" s="65"/>
      <c r="H45" s="66"/>
      <c r="I45" s="67"/>
      <c r="J45" s="2"/>
      <c r="K45" s="68">
        <v>0.98429999999999995</v>
      </c>
      <c r="L45" s="69">
        <v>0.98480000000000001</v>
      </c>
      <c r="M45" s="70"/>
      <c r="N45" s="70"/>
      <c r="O45" s="71"/>
      <c r="P45" s="2"/>
      <c r="Q45" s="64"/>
      <c r="R45" s="77"/>
      <c r="S45" s="73"/>
      <c r="T45" s="74"/>
      <c r="U45" s="67"/>
      <c r="V45" s="2"/>
      <c r="W45" s="64"/>
      <c r="X45" s="77"/>
      <c r="Y45" s="77"/>
      <c r="AA45" s="75"/>
      <c r="AB45" s="76"/>
      <c r="AC45" s="2"/>
      <c r="AD45" s="64"/>
      <c r="AE45" s="67"/>
      <c r="AG45" s="64"/>
      <c r="AH45" s="77"/>
      <c r="AI45" s="78"/>
    </row>
    <row r="46" spans="1:35">
      <c r="A46" s="36">
        <v>14</v>
      </c>
      <c r="B46" s="28" t="s">
        <v>58</v>
      </c>
      <c r="C46" s="28" t="s">
        <v>40</v>
      </c>
      <c r="D46" s="37" t="s">
        <v>56</v>
      </c>
      <c r="E46" s="2"/>
      <c r="F46" s="38">
        <v>0.14199999999999999</v>
      </c>
      <c r="G46" s="49">
        <f t="shared" si="4"/>
        <v>3.6067999999999993</v>
      </c>
      <c r="H46" s="50">
        <f t="shared" si="5"/>
        <v>1.7605633802816904E-3</v>
      </c>
      <c r="I46" s="39">
        <f>IF(G46="","",IF(C46="Al", G46/10/8.896, IF(C46="Pure Al", G46/10/8.896, IF(C46="C", G46/10/21.349, IF(C46="Be", G46/10/35.276, IF(C46="LH2", G46/10/871.902, ""))))))</f>
        <v>4.0544064748201429E-2</v>
      </c>
      <c r="J46" s="2"/>
      <c r="K46" s="38">
        <v>0.98399999999999999</v>
      </c>
      <c r="L46" s="51">
        <v>0.98399999999999999</v>
      </c>
      <c r="M46" s="52">
        <f>IF(K46="","",K46*L46)</f>
        <v>0.96825600000000001</v>
      </c>
      <c r="N46" s="52">
        <f>IF(M46="","",M46*2.54*2.54)</f>
        <v>6.2468004096000005</v>
      </c>
      <c r="O46" s="39">
        <f>(SQRT(K46^2*$L$4^2+L46^2*$K$4^2))/M46</f>
        <v>1.4372089048507064E-3</v>
      </c>
      <c r="P46" s="2"/>
      <c r="Q46" s="38">
        <v>0.1467</v>
      </c>
      <c r="R46" s="51">
        <v>0.1424</v>
      </c>
      <c r="S46" s="52">
        <f t="shared" si="6"/>
        <v>0.14455000000000001</v>
      </c>
      <c r="T46" s="53">
        <f t="shared" si="7"/>
        <v>3.0405591591021533E-3</v>
      </c>
      <c r="U46" s="39">
        <f t="shared" si="8"/>
        <v>9.7835597535323067E-4</v>
      </c>
      <c r="V46" s="2"/>
      <c r="W46" s="38">
        <v>6.2945000000000002</v>
      </c>
      <c r="X46" s="51">
        <v>6.2944000000000004</v>
      </c>
      <c r="Y46" s="51">
        <v>6.2942999999999998</v>
      </c>
      <c r="Z46" s="28">
        <f t="shared" si="9"/>
        <v>6.2944000000000004</v>
      </c>
      <c r="AA46" s="54">
        <f t="shared" si="10"/>
        <v>1.0000000000021103E-4</v>
      </c>
      <c r="AB46" s="55">
        <f t="shared" si="11"/>
        <v>5.5034659620261728E-4</v>
      </c>
      <c r="AC46" s="2"/>
      <c r="AD46" s="38">
        <f t="shared" si="12"/>
        <v>1.0076198353203105</v>
      </c>
      <c r="AE46" s="39">
        <f t="shared" si="13"/>
        <v>1.5389771967556809E-3</v>
      </c>
      <c r="AG46" s="38">
        <f t="shared" si="14"/>
        <v>2.793667060331348</v>
      </c>
      <c r="AH46" s="51">
        <f t="shared" si="15"/>
        <v>2.7443841063095911</v>
      </c>
      <c r="AI46" s="56">
        <f t="shared" si="16"/>
        <v>1.0179577464788734</v>
      </c>
    </row>
    <row r="47" spans="1:35">
      <c r="A47" s="36"/>
      <c r="B47" s="28"/>
      <c r="C47" s="28"/>
      <c r="D47" s="37"/>
      <c r="E47" s="2"/>
      <c r="F47" s="38">
        <v>0.14199999999999999</v>
      </c>
      <c r="G47" s="49">
        <f t="shared" si="4"/>
        <v>3.6067999999999993</v>
      </c>
      <c r="H47" s="50">
        <f>$G$4/G47</f>
        <v>1.7605633802816904E-3</v>
      </c>
      <c r="I47" s="39" t="str">
        <f>IF(G47="","",IF(C47="Al", G47/10/8.896, IF(C47="Pure Al", G47/10/8.896, IF(C47="C", G47/10/21.349, IF(C47="Be", G47/10/35.276, IF(C47="LH2", G47/10/871.902, ""))))))</f>
        <v/>
      </c>
      <c r="J47" s="2"/>
      <c r="K47" s="57">
        <v>0.98429999999999995</v>
      </c>
      <c r="L47" s="58">
        <v>0.98470000000000002</v>
      </c>
      <c r="M47" s="59">
        <f>IF(K47="","",AVERAGE(K47,K48)*AVERAGE(L47,L48))</f>
        <v>0.96928945999999994</v>
      </c>
      <c r="N47" s="59">
        <f>IF(M47="","",M47*2.54*2.54)</f>
        <v>6.2534678801359993</v>
      </c>
      <c r="O47" s="60">
        <f>(SQRT(K47^2*2*$F$4^2+L47^2*2*$F$4^2))/M47</f>
        <v>5.0784624250163645E-4</v>
      </c>
      <c r="P47" s="2"/>
      <c r="Q47" s="38"/>
      <c r="R47" s="51"/>
      <c r="S47" s="52"/>
      <c r="T47" s="53"/>
      <c r="U47" s="39"/>
      <c r="V47" s="2"/>
      <c r="W47" s="38"/>
      <c r="X47" s="51"/>
      <c r="Y47" s="51"/>
      <c r="Z47" s="28"/>
      <c r="AA47" s="54"/>
      <c r="AB47" s="55"/>
      <c r="AC47" s="2"/>
      <c r="AD47" s="38">
        <f>Z46/N47</f>
        <v>1.0065455073326628</v>
      </c>
      <c r="AE47" s="39"/>
      <c r="AG47" s="38">
        <f>AD47/(G47/10)</f>
        <v>2.7906884421999085</v>
      </c>
      <c r="AH47" s="51">
        <f>AD47/(S46*2.54)</f>
        <v>2.7414580338456376</v>
      </c>
      <c r="AI47" s="56">
        <f>AG47/AH47</f>
        <v>1.0179577464788736</v>
      </c>
    </row>
    <row r="48" spans="1:35" ht="16.5" thickBot="1">
      <c r="A48" s="36"/>
      <c r="B48" s="28"/>
      <c r="C48" s="28"/>
      <c r="D48" s="37"/>
      <c r="E48" s="2"/>
      <c r="F48" s="38"/>
      <c r="G48" s="49"/>
      <c r="H48" s="50"/>
      <c r="I48" s="39"/>
      <c r="J48" s="2"/>
      <c r="K48" s="57">
        <v>0.98450000000000004</v>
      </c>
      <c r="L48" s="58">
        <v>0.98460000000000003</v>
      </c>
      <c r="M48" s="59"/>
      <c r="N48" s="59"/>
      <c r="O48" s="60"/>
      <c r="P48" s="2"/>
      <c r="Q48" s="38"/>
      <c r="R48" s="51"/>
      <c r="S48" s="52"/>
      <c r="T48" s="53"/>
      <c r="U48" s="39"/>
      <c r="V48" s="2"/>
      <c r="W48" s="38"/>
      <c r="X48" s="51"/>
      <c r="Y48" s="51"/>
      <c r="Z48" s="28"/>
      <c r="AA48" s="54"/>
      <c r="AB48" s="55"/>
      <c r="AC48" s="2"/>
      <c r="AD48" s="38"/>
      <c r="AE48" s="39"/>
      <c r="AG48" s="38"/>
      <c r="AH48" s="51"/>
      <c r="AI48" s="56"/>
    </row>
    <row r="49" spans="1:35" s="3" customFormat="1">
      <c r="A49" s="80">
        <v>15</v>
      </c>
      <c r="B49" s="3" t="s">
        <v>59</v>
      </c>
      <c r="C49" s="3" t="s">
        <v>40</v>
      </c>
      <c r="D49" s="81" t="s">
        <v>56</v>
      </c>
      <c r="E49" s="2"/>
      <c r="F49" s="82">
        <v>3.5000000000000003E-2</v>
      </c>
      <c r="G49" s="83">
        <f t="shared" si="4"/>
        <v>0.88900000000000001</v>
      </c>
      <c r="H49" s="84">
        <f t="shared" si="5"/>
        <v>7.1428571428571426E-3</v>
      </c>
      <c r="I49" s="85">
        <f>IF(G49="","",IF(C49="Al", G49/10/8.896, IF(C49="Pure Al", G49/10/8.896, IF(C49="C", G49/10/21.349, IF(C49="Be", G49/10/35.276, IF(C49="LH2", G49/10/871.902, ""))))))</f>
        <v>9.9932553956834525E-3</v>
      </c>
      <c r="J49" s="2"/>
      <c r="K49" s="82">
        <v>0.98299999999999998</v>
      </c>
      <c r="L49" s="86">
        <v>0.98399999999999999</v>
      </c>
      <c r="M49" s="87">
        <f>IF(K49="","",K49*L49)</f>
        <v>0.96727200000000002</v>
      </c>
      <c r="N49" s="87">
        <f>IF(M49="","",M49*2.54*2.54)</f>
        <v>6.2404520351999997</v>
      </c>
      <c r="O49" s="85">
        <f>(SQRT(K49^2*$L$4^2+L49^2*$K$4^2))/M49</f>
        <v>1.4379401226711544E-3</v>
      </c>
      <c r="P49" s="2"/>
      <c r="Q49" s="82">
        <v>3.39E-2</v>
      </c>
      <c r="R49" s="86">
        <v>3.4200000000000001E-2</v>
      </c>
      <c r="S49" s="87">
        <f t="shared" si="6"/>
        <v>3.4049999999999997E-2</v>
      </c>
      <c r="T49" s="89">
        <f t="shared" si="7"/>
        <v>2.1213203435596541E-4</v>
      </c>
      <c r="U49" s="85">
        <f t="shared" si="8"/>
        <v>4.1533437955156979E-3</v>
      </c>
      <c r="V49" s="2"/>
      <c r="W49" s="82">
        <v>1.5246</v>
      </c>
      <c r="X49" s="86">
        <v>1.5246999999999999</v>
      </c>
      <c r="Y49" s="86">
        <v>1.5246</v>
      </c>
      <c r="Z49" s="3">
        <f t="shared" si="9"/>
        <v>1.5246333333333333</v>
      </c>
      <c r="AA49" s="90">
        <f t="shared" si="10"/>
        <v>5.7735026918956222E-5</v>
      </c>
      <c r="AB49" s="91">
        <f t="shared" si="11"/>
        <v>2.2720883371768652E-3</v>
      </c>
      <c r="AC49" s="2"/>
      <c r="AD49" s="82">
        <f t="shared" si="12"/>
        <v>0.24431456643420391</v>
      </c>
      <c r="AE49" s="85">
        <f t="shared" si="13"/>
        <v>2.6888765699307703E-3</v>
      </c>
      <c r="AG49" s="82">
        <f t="shared" si="14"/>
        <v>2.7481953479662979</v>
      </c>
      <c r="AH49" s="86">
        <f t="shared" si="15"/>
        <v>2.8248704017274724</v>
      </c>
      <c r="AI49" s="92">
        <f t="shared" si="16"/>
        <v>0.97285714285714275</v>
      </c>
    </row>
    <row r="50" spans="1:35" s="28" customFormat="1">
      <c r="A50" s="36"/>
      <c r="D50" s="37"/>
      <c r="E50" s="2"/>
      <c r="F50" s="38">
        <v>3.49E-2</v>
      </c>
      <c r="G50" s="49">
        <f t="shared" si="4"/>
        <v>0.88645999999999991</v>
      </c>
      <c r="H50" s="50">
        <f>$G$4/G50</f>
        <v>7.1633237822349575E-3</v>
      </c>
      <c r="I50" s="39" t="str">
        <f>IF(G50="","",IF(C50="Al", G50/10/8.896, IF(C50="Pure Al", G50/10/8.896, IF(C50="C", G50/10/21.349, IF(C50="Be", G50/10/35.276, IF(C50="LH2", G50/10/871.902, ""))))))</f>
        <v/>
      </c>
      <c r="J50" s="2"/>
      <c r="K50" s="57">
        <v>0.98480000000000001</v>
      </c>
      <c r="L50" s="58">
        <v>0.98480000000000001</v>
      </c>
      <c r="M50" s="59">
        <f>IF(K50="","",AVERAGE(K50,K51)*AVERAGE(L50,L51))</f>
        <v>0.96983103999999998</v>
      </c>
      <c r="N50" s="59">
        <f>IF(M50="","",M50*2.54*2.54)</f>
        <v>6.2569619376640002</v>
      </c>
      <c r="O50" s="60">
        <f>(SQRT(K50^2*2*$F$4^2+L50^2*2*$F$4^2))/M50</f>
        <v>5.0771730300568649E-4</v>
      </c>
      <c r="P50" s="2"/>
      <c r="Q50" s="38"/>
      <c r="R50" s="51"/>
      <c r="S50" s="52"/>
      <c r="T50" s="53"/>
      <c r="U50" s="39"/>
      <c r="V50" s="2"/>
      <c r="W50" s="38"/>
      <c r="X50" s="51"/>
      <c r="Y50" s="51"/>
      <c r="AA50" s="54"/>
      <c r="AB50" s="55"/>
      <c r="AC50" s="2"/>
      <c r="AD50" s="38">
        <f>Z49/N50</f>
        <v>0.24366990698085436</v>
      </c>
      <c r="AE50" s="39"/>
      <c r="AG50" s="38">
        <f>AD50/(G50/10)</f>
        <v>2.7487975428203684</v>
      </c>
      <c r="AH50" s="51">
        <f>AD50/(S49*2.54)</f>
        <v>2.8174165710552379</v>
      </c>
      <c r="AI50" s="56">
        <f>AG50/AH50</f>
        <v>0.97564469914040119</v>
      </c>
    </row>
    <row r="51" spans="1:35" s="62" customFormat="1" ht="16.5" thickBot="1">
      <c r="A51" s="61"/>
      <c r="D51" s="63"/>
      <c r="E51" s="2"/>
      <c r="F51" s="64"/>
      <c r="G51" s="65"/>
      <c r="H51" s="66"/>
      <c r="I51" s="67"/>
      <c r="J51" s="2"/>
      <c r="K51" s="68">
        <v>0.98480000000000001</v>
      </c>
      <c r="L51" s="69">
        <v>0.98480000000000001</v>
      </c>
      <c r="M51" s="70"/>
      <c r="N51" s="70"/>
      <c r="O51" s="71"/>
      <c r="P51" s="2"/>
      <c r="Q51" s="64"/>
      <c r="R51" s="77"/>
      <c r="S51" s="73"/>
      <c r="T51" s="74"/>
      <c r="U51" s="67"/>
      <c r="V51" s="2"/>
      <c r="W51" s="64"/>
      <c r="X51" s="77"/>
      <c r="Y51" s="77"/>
      <c r="AA51" s="75"/>
      <c r="AB51" s="76"/>
      <c r="AC51" s="2"/>
      <c r="AD51" s="64"/>
      <c r="AE51" s="67"/>
      <c r="AG51" s="64"/>
      <c r="AH51" s="77"/>
      <c r="AI51" s="78"/>
    </row>
    <row r="52" spans="1:35" ht="16.5" thickBot="1">
      <c r="A52" s="36">
        <v>16</v>
      </c>
      <c r="B52" s="28" t="s">
        <v>60</v>
      </c>
      <c r="C52" s="28" t="s">
        <v>61</v>
      </c>
      <c r="D52" s="37"/>
      <c r="E52" s="2"/>
      <c r="F52" s="38"/>
      <c r="G52" s="49" t="str">
        <f t="shared" si="4"/>
        <v/>
      </c>
      <c r="H52" s="49"/>
      <c r="I52" s="39" t="str">
        <f>IF(G52="","",IF(C52="Al", G52/10/8.896, IF(C52="Pure Al", G52/10/8.896, IF(C52="C", G52/10/21.349, IF(C52="Be", G52/10/35.276, IF(C52="LH2", G52/10/871.902, ""))))))</f>
        <v/>
      </c>
      <c r="J52" s="2"/>
      <c r="K52" s="38"/>
      <c r="L52" s="51"/>
      <c r="M52" s="52" t="str">
        <f>IF(K52="","",K52*L52)</f>
        <v/>
      </c>
      <c r="N52" s="52" t="str">
        <f>IF(M52="","",M52*2.54*2.54)</f>
        <v/>
      </c>
      <c r="O52" s="98"/>
      <c r="P52" s="2"/>
      <c r="Q52" s="40"/>
      <c r="R52" s="28"/>
      <c r="S52" s="28"/>
      <c r="T52" s="28"/>
      <c r="U52" s="29"/>
      <c r="V52" s="2"/>
      <c r="W52" s="40"/>
      <c r="X52" s="28"/>
      <c r="Y52" s="28"/>
      <c r="Z52" s="28"/>
      <c r="AA52" s="28"/>
      <c r="AB52" s="29"/>
      <c r="AC52" s="2"/>
      <c r="AD52" s="40"/>
      <c r="AE52" s="29"/>
      <c r="AG52" s="38"/>
      <c r="AH52" s="51"/>
      <c r="AI52" s="29"/>
    </row>
    <row r="53" spans="1:35" s="3" customFormat="1">
      <c r="A53" s="80">
        <v>17</v>
      </c>
      <c r="B53" s="3" t="s">
        <v>62</v>
      </c>
      <c r="C53" s="3" t="s">
        <v>40</v>
      </c>
      <c r="D53" s="81"/>
      <c r="E53" s="2"/>
      <c r="F53" s="94">
        <f>0.05+0.013</f>
        <v>6.3E-2</v>
      </c>
      <c r="G53" s="83">
        <f t="shared" si="4"/>
        <v>1.6001999999999998</v>
      </c>
      <c r="H53" s="84">
        <f>$G$4/G53</f>
        <v>3.9682539682539689E-3</v>
      </c>
      <c r="I53" s="85">
        <f>IF(G53="","",IF(C53="Al", G53/10/8.896, IF(C53="Pure Al", G53/10/8.896, IF(C53="C", G53/10/21.349, IF(C53="Be", G53/10/35.276, IF(C53="LH2", G53/10/871.902, ""))))))</f>
        <v>1.7987859712230214E-2</v>
      </c>
      <c r="J53" s="2"/>
      <c r="K53" s="82">
        <v>0.98</v>
      </c>
      <c r="L53" s="86">
        <v>0.98</v>
      </c>
      <c r="M53" s="87">
        <f>IF(K53="","",K53*L53 - 6*6/25.4/25.4)</f>
        <v>0.90459988839977667</v>
      </c>
      <c r="N53" s="87">
        <f>IF(M53="","",M53*2.54*2.54)</f>
        <v>5.8361166399999993</v>
      </c>
      <c r="O53" s="85">
        <f>(SQRT(K53^2*$L$4^2+L53^2*$K$4^2))/M53</f>
        <v>1.5320909375495511E-3</v>
      </c>
      <c r="P53" s="2"/>
      <c r="Q53" s="88"/>
      <c r="U53" s="4"/>
      <c r="V53" s="2"/>
      <c r="W53" s="88">
        <v>2.5428999999999999</v>
      </c>
      <c r="Z53" s="3">
        <f>AVERAGE(W53:Y53)</f>
        <v>2.5428999999999999</v>
      </c>
      <c r="AB53" s="91">
        <f>1/SQRT(COUNT(W53:Y53))*$Y$4/Z53</f>
        <v>7.8650359825396202E-4</v>
      </c>
      <c r="AC53" s="2"/>
      <c r="AD53" s="82">
        <f>Z53/N53</f>
        <v>0.43571781663363057</v>
      </c>
      <c r="AE53" s="85">
        <f>SQRT((1/N53)^2*(AB53*Z53)^2 + (Z53/N53^2)^2*(O53*N53)^2)/AD53</f>
        <v>1.7221761091676692E-3</v>
      </c>
      <c r="AG53" s="82">
        <f>AD53/(G53/10)</f>
        <v>2.7228959919611961</v>
      </c>
      <c r="AH53" s="86"/>
      <c r="AI53" s="4"/>
    </row>
    <row r="54" spans="1:35" s="28" customFormat="1">
      <c r="A54" s="36"/>
      <c r="D54" s="95"/>
      <c r="E54" s="2"/>
      <c r="F54" s="38">
        <v>6.2799999999999995E-2</v>
      </c>
      <c r="G54" s="49">
        <f t="shared" si="4"/>
        <v>1.5951199999999999</v>
      </c>
      <c r="H54" s="50">
        <f>$G$4/G54</f>
        <v>3.9808917197452229E-3</v>
      </c>
      <c r="I54" s="39" t="str">
        <f>IF(G54="","",IF(C54="Al", G54/10/8.896, IF(C54="Pure Al", G54/10/8.896, IF(C54="C", G54/10/21.349, IF(C54="Be", G54/10/35.276, IF(C54="LH2", G54/10/871.902, ""))))))</f>
        <v/>
      </c>
      <c r="J54" s="2"/>
      <c r="K54" s="57">
        <v>0.98170000000000002</v>
      </c>
      <c r="L54" s="58">
        <v>0.98099999999999998</v>
      </c>
      <c r="M54" s="59">
        <f>IF(K54="","",AVERAGE(K54*L54, K55*L55) - 6*6/25.4/25.4)</f>
        <v>0.90714948839977672</v>
      </c>
      <c r="N54" s="59">
        <f>IF(M54="","",M54*2.54*2.54)</f>
        <v>5.8525656393599998</v>
      </c>
      <c r="O54" s="60">
        <f>(SQRT(K54^2*2*$F$4^2+L54^2*2*$F$4^2))/M54</f>
        <v>5.4089765521729701E-4</v>
      </c>
      <c r="P54" s="2"/>
      <c r="Q54" s="40"/>
      <c r="U54" s="29"/>
      <c r="V54" s="2"/>
      <c r="W54" s="40"/>
      <c r="AB54" s="55"/>
      <c r="AC54" s="2"/>
      <c r="AD54" s="38">
        <f>Z53/N54</f>
        <v>0.43449320463803898</v>
      </c>
      <c r="AE54" s="39"/>
      <c r="AG54" s="38">
        <f>AD54/(G54/10)</f>
        <v>2.7238903946915531</v>
      </c>
      <c r="AH54" s="51"/>
      <c r="AI54" s="29"/>
    </row>
    <row r="55" spans="1:35" s="62" customFormat="1" ht="16.5" thickBot="1">
      <c r="A55" s="61"/>
      <c r="D55" s="96"/>
      <c r="E55" s="2"/>
      <c r="F55" s="64"/>
      <c r="G55" s="65"/>
      <c r="H55" s="66"/>
      <c r="I55" s="67"/>
      <c r="J55" s="2"/>
      <c r="K55" s="68">
        <v>0.98150000000000004</v>
      </c>
      <c r="L55" s="69">
        <v>0.98099999999999998</v>
      </c>
      <c r="M55" s="70"/>
      <c r="N55" s="70"/>
      <c r="O55" s="71"/>
      <c r="P55" s="2"/>
      <c r="Q55" s="72"/>
      <c r="U55" s="97"/>
      <c r="V55" s="2"/>
      <c r="W55" s="72"/>
      <c r="AB55" s="76"/>
      <c r="AC55" s="2"/>
      <c r="AD55" s="64"/>
      <c r="AE55" s="67"/>
      <c r="AG55" s="64"/>
      <c r="AH55" s="77"/>
      <c r="AI55" s="97"/>
    </row>
    <row r="56" spans="1:35">
      <c r="A56" s="36">
        <v>18</v>
      </c>
      <c r="B56" s="28" t="s">
        <v>63</v>
      </c>
      <c r="C56" s="28" t="s">
        <v>40</v>
      </c>
      <c r="D56" s="37"/>
      <c r="E56" s="2"/>
      <c r="F56" s="103">
        <f>0.05+0.0135</f>
        <v>6.3500000000000001E-2</v>
      </c>
      <c r="G56" s="49">
        <f t="shared" si="4"/>
        <v>1.6129</v>
      </c>
      <c r="H56" s="50">
        <f>$G$4/G56</f>
        <v>3.937007874015748E-3</v>
      </c>
      <c r="I56" s="39">
        <f>IF(G56="","",IF(C56="Al", G56/10/8.896, IF(C56="Pure Al", G56/10/8.896, IF(C56="C", G56/10/21.349, IF(C56="Be", G56/10/35.276, IF(C56="LH2", G56/10/871.902, ""))))))</f>
        <v>1.8130620503597119E-2</v>
      </c>
      <c r="J56" s="2"/>
      <c r="K56" s="38">
        <v>0.98399999999999999</v>
      </c>
      <c r="L56" s="51">
        <v>0.97499999999999998</v>
      </c>
      <c r="M56" s="52">
        <f>0.984*0.492+0.5*0.984/2*(0.975-0.492)</f>
        <v>0.60294599999999998</v>
      </c>
      <c r="N56" s="52">
        <f>IF(M56="","",M56*2.54*2.54)</f>
        <v>3.8899664136000003</v>
      </c>
      <c r="O56" s="39">
        <f>(SQRT(K56^2*$L$4^2+L56^2*$K$4^2))/M56</f>
        <v>2.2974475373595581E-3</v>
      </c>
      <c r="P56" s="2"/>
      <c r="Q56" s="40"/>
      <c r="R56" s="28"/>
      <c r="S56" s="28"/>
      <c r="T56" s="28"/>
      <c r="U56" s="29"/>
      <c r="V56" s="2"/>
      <c r="W56" s="40">
        <v>1.7016</v>
      </c>
      <c r="X56" s="28"/>
      <c r="Y56" s="28"/>
      <c r="Z56" s="28">
        <f>AVERAGE(W56:Y56)</f>
        <v>1.7016</v>
      </c>
      <c r="AA56" s="28"/>
      <c r="AB56" s="55">
        <f>1/SQRT(COUNT(W56:Y56))*$Y$4/Z56</f>
        <v>1.1753643629525154E-3</v>
      </c>
      <c r="AC56" s="2"/>
      <c r="AD56" s="38">
        <f>Z56/N56</f>
        <v>0.43743308272557574</v>
      </c>
      <c r="AE56" s="39">
        <f>SQRT((1/N56)^2*(AB56*Z56)^2 + (Z56/N56^2)^2*(O56*N56)^2)/AD56</f>
        <v>2.5806484790878185E-3</v>
      </c>
      <c r="AG56" s="38">
        <f>AD56/(G56/10)</f>
        <v>2.7120905370796438</v>
      </c>
      <c r="AH56" s="51"/>
      <c r="AI56" s="29"/>
    </row>
    <row r="57" spans="1:35">
      <c r="A57" s="36"/>
      <c r="B57" s="28"/>
      <c r="C57" s="28"/>
      <c r="D57" s="37"/>
      <c r="E57" s="2"/>
      <c r="F57" s="38">
        <v>6.2799999999999995E-2</v>
      </c>
      <c r="G57" s="49">
        <f t="shared" si="4"/>
        <v>1.5951199999999999</v>
      </c>
      <c r="H57" s="49"/>
      <c r="I57" s="39" t="str">
        <f>IF(G57="","",IF(C57="Al", G57/10/8.896, IF(C57="Pure Al", G57/10/8.896, IF(C57="C", G57/10/21.349, IF(C57="Be", G57/10/35.276, IF(C57="LH2", G57/10/871.902, ""))))))</f>
        <v/>
      </c>
      <c r="J57" s="2"/>
      <c r="K57" s="57">
        <v>0.98399999999999999</v>
      </c>
      <c r="L57" s="58">
        <v>0.97850000000000004</v>
      </c>
      <c r="M57" s="59"/>
      <c r="N57" s="115"/>
      <c r="O57" s="116"/>
      <c r="P57" s="2"/>
      <c r="Q57" s="40"/>
      <c r="R57" s="28"/>
      <c r="S57" s="28"/>
      <c r="T57" s="28"/>
      <c r="U57" s="29"/>
      <c r="V57" s="2"/>
      <c r="W57" s="40"/>
      <c r="X57" s="28"/>
      <c r="Y57" s="28"/>
      <c r="Z57" s="28"/>
      <c r="AA57" s="28"/>
      <c r="AB57" s="29"/>
      <c r="AC57" s="2"/>
      <c r="AD57" s="38"/>
      <c r="AE57" s="39"/>
      <c r="AG57" s="38"/>
      <c r="AH57" s="51"/>
      <c r="AI57" s="29"/>
    </row>
    <row r="58" spans="1:35">
      <c r="A58" s="36"/>
      <c r="B58" s="28"/>
      <c r="C58" s="28"/>
      <c r="D58" s="37"/>
      <c r="E58" s="2"/>
      <c r="F58" s="38"/>
      <c r="G58" s="49"/>
      <c r="H58" s="49"/>
      <c r="I58" s="39"/>
      <c r="J58" s="2"/>
      <c r="K58" s="57">
        <v>0.98399999999999999</v>
      </c>
      <c r="L58" s="58">
        <v>0.49130000000000001</v>
      </c>
      <c r="M58" s="59"/>
      <c r="N58" s="115"/>
      <c r="O58" s="116"/>
      <c r="P58" s="2"/>
      <c r="Q58" s="40"/>
      <c r="R58" s="28"/>
      <c r="S58" s="28"/>
      <c r="T58" s="28"/>
      <c r="U58" s="29"/>
      <c r="V58" s="2"/>
      <c r="W58" s="40"/>
      <c r="X58" s="28"/>
      <c r="Y58" s="28"/>
      <c r="Z58" s="28"/>
      <c r="AA58" s="28"/>
      <c r="AB58" s="29"/>
      <c r="AC58" s="2"/>
      <c r="AD58" s="40"/>
      <c r="AE58" s="29"/>
      <c r="AG58" s="38"/>
      <c r="AH58" s="51"/>
      <c r="AI58" s="29"/>
    </row>
    <row r="59" spans="1:35" ht="16.5" thickBot="1">
      <c r="A59" s="36"/>
      <c r="B59" s="28"/>
      <c r="C59" s="28"/>
      <c r="D59" s="37"/>
      <c r="E59" s="2"/>
      <c r="F59" s="38"/>
      <c r="G59" s="49"/>
      <c r="H59" s="49"/>
      <c r="I59" s="39"/>
      <c r="J59" s="2"/>
      <c r="K59" s="38"/>
      <c r="L59" s="51"/>
      <c r="M59" s="52"/>
      <c r="N59" s="28"/>
      <c r="O59" s="29"/>
      <c r="P59" s="2"/>
      <c r="Q59" s="40"/>
      <c r="R59" s="28"/>
      <c r="S59" s="28"/>
      <c r="T59" s="28"/>
      <c r="U59" s="29"/>
      <c r="V59" s="2"/>
      <c r="W59" s="40"/>
      <c r="X59" s="28"/>
      <c r="Y59" s="28"/>
      <c r="Z59" s="28"/>
      <c r="AA59" s="28"/>
      <c r="AB59" s="29"/>
      <c r="AC59" s="2"/>
      <c r="AD59" s="40"/>
      <c r="AE59" s="29"/>
      <c r="AG59" s="38"/>
      <c r="AH59" s="51"/>
      <c r="AI59" s="29"/>
    </row>
    <row r="60" spans="1:35" s="3" customFormat="1">
      <c r="A60" s="80">
        <v>19</v>
      </c>
      <c r="B60" s="3" t="s">
        <v>64</v>
      </c>
      <c r="C60" s="3" t="s">
        <v>40</v>
      </c>
      <c r="D60" s="81"/>
      <c r="E60" s="2"/>
      <c r="F60" s="82"/>
      <c r="G60" s="83" t="str">
        <f t="shared" si="4"/>
        <v/>
      </c>
      <c r="H60" s="83"/>
      <c r="I60" s="85" t="str">
        <f t="shared" ref="I60:I69" si="17">IF(G60="","",IF(C60="Al", G60/10/8.896, IF(C60="Pure Al", G60/10/8.896, IF(C60="C", G60/10/21.349, IF(C60="Be", G60/10/35.276, IF(C60="LH2", G60/10/871.902, ""))))))</f>
        <v/>
      </c>
      <c r="J60" s="2"/>
      <c r="K60" s="82"/>
      <c r="L60" s="86"/>
      <c r="M60" s="87" t="str">
        <f t="shared" ref="M60:M65" si="18">IF(K60="","",K60*L60)</f>
        <v/>
      </c>
      <c r="N60" s="3" t="str">
        <f t="shared" ref="N60:N65" si="19">IF(M60="","",M60*2.54*2.54)</f>
        <v/>
      </c>
      <c r="O60" s="4"/>
      <c r="P60" s="2"/>
      <c r="Q60" s="88"/>
      <c r="U60" s="4"/>
      <c r="V60" s="2"/>
      <c r="W60" s="117" t="s">
        <v>65</v>
      </c>
      <c r="X60" s="118"/>
      <c r="Y60" s="119"/>
      <c r="AB60" s="4"/>
      <c r="AC60" s="2"/>
      <c r="AD60" s="88"/>
      <c r="AE60" s="4"/>
      <c r="AG60" s="82"/>
      <c r="AH60" s="86"/>
      <c r="AI60" s="4"/>
    </row>
    <row r="61" spans="1:35" s="28" customFormat="1">
      <c r="A61" s="36">
        <v>20</v>
      </c>
      <c r="B61" s="28" t="s">
        <v>66</v>
      </c>
      <c r="C61" s="28" t="s">
        <v>40</v>
      </c>
      <c r="D61" s="37"/>
      <c r="E61" s="2"/>
      <c r="F61" s="38"/>
      <c r="G61" s="49" t="str">
        <f t="shared" si="4"/>
        <v/>
      </c>
      <c r="H61" s="49"/>
      <c r="I61" s="39" t="str">
        <f t="shared" si="17"/>
        <v/>
      </c>
      <c r="J61" s="2"/>
      <c r="K61" s="38"/>
      <c r="L61" s="51"/>
      <c r="M61" s="52" t="str">
        <f t="shared" si="18"/>
        <v/>
      </c>
      <c r="N61" s="28" t="str">
        <f t="shared" si="19"/>
        <v/>
      </c>
      <c r="O61" s="29"/>
      <c r="P61" s="2"/>
      <c r="Q61" s="40"/>
      <c r="U61" s="29"/>
      <c r="V61" s="2"/>
      <c r="W61" s="120" t="s">
        <v>67</v>
      </c>
      <c r="X61" s="115"/>
      <c r="Y61" s="116"/>
      <c r="AB61" s="29"/>
      <c r="AC61" s="2"/>
      <c r="AD61" s="40"/>
      <c r="AE61" s="29"/>
      <c r="AG61" s="38"/>
      <c r="AH61" s="51"/>
      <c r="AI61" s="29"/>
    </row>
    <row r="62" spans="1:35" s="28" customFormat="1">
      <c r="A62" s="36">
        <v>21</v>
      </c>
      <c r="B62" s="28" t="s">
        <v>68</v>
      </c>
      <c r="C62" s="28" t="s">
        <v>40</v>
      </c>
      <c r="D62" s="37"/>
      <c r="E62" s="2"/>
      <c r="F62" s="38"/>
      <c r="G62" s="49" t="str">
        <f t="shared" si="4"/>
        <v/>
      </c>
      <c r="H62" s="49"/>
      <c r="I62" s="39" t="str">
        <f t="shared" si="17"/>
        <v/>
      </c>
      <c r="J62" s="2"/>
      <c r="K62" s="38"/>
      <c r="L62" s="51"/>
      <c r="M62" s="52" t="str">
        <f t="shared" si="18"/>
        <v/>
      </c>
      <c r="N62" s="28" t="str">
        <f t="shared" si="19"/>
        <v/>
      </c>
      <c r="O62" s="29"/>
      <c r="P62" s="2"/>
      <c r="Q62" s="40"/>
      <c r="U62" s="29"/>
      <c r="V62" s="2"/>
      <c r="W62" s="120" t="s">
        <v>69</v>
      </c>
      <c r="X62" s="115"/>
      <c r="Y62" s="116"/>
      <c r="AB62" s="29"/>
      <c r="AC62" s="2"/>
      <c r="AD62" s="40"/>
      <c r="AE62" s="29"/>
      <c r="AG62" s="38"/>
      <c r="AH62" s="51"/>
      <c r="AI62" s="29"/>
    </row>
    <row r="63" spans="1:35" s="28" customFormat="1">
      <c r="A63" s="36">
        <v>22</v>
      </c>
      <c r="B63" s="28" t="s">
        <v>70</v>
      </c>
      <c r="C63" s="28" t="s">
        <v>40</v>
      </c>
      <c r="D63" s="37"/>
      <c r="E63" s="2"/>
      <c r="F63" s="38"/>
      <c r="G63" s="49" t="str">
        <f t="shared" si="4"/>
        <v/>
      </c>
      <c r="H63" s="49"/>
      <c r="I63" s="39" t="str">
        <f t="shared" si="17"/>
        <v/>
      </c>
      <c r="J63" s="2"/>
      <c r="K63" s="38"/>
      <c r="L63" s="51"/>
      <c r="M63" s="52" t="str">
        <f t="shared" si="18"/>
        <v/>
      </c>
      <c r="N63" s="28" t="str">
        <f t="shared" si="19"/>
        <v/>
      </c>
      <c r="O63" s="29"/>
      <c r="P63" s="2"/>
      <c r="Q63" s="40"/>
      <c r="U63" s="29"/>
      <c r="V63" s="2"/>
      <c r="W63" s="120" t="s">
        <v>71</v>
      </c>
      <c r="X63" s="115"/>
      <c r="Y63" s="116"/>
      <c r="AB63" s="29"/>
      <c r="AC63" s="2"/>
      <c r="AD63" s="40"/>
      <c r="AE63" s="29"/>
      <c r="AG63" s="38"/>
      <c r="AH63" s="51"/>
      <c r="AI63" s="29"/>
    </row>
    <row r="64" spans="1:35" s="28" customFormat="1" ht="16.5" thickBot="1">
      <c r="A64" s="36">
        <v>23</v>
      </c>
      <c r="B64" s="28" t="s">
        <v>72</v>
      </c>
      <c r="C64" s="28" t="s">
        <v>40</v>
      </c>
      <c r="D64" s="37"/>
      <c r="E64" s="2"/>
      <c r="F64" s="38"/>
      <c r="G64" s="49" t="str">
        <f t="shared" si="4"/>
        <v/>
      </c>
      <c r="H64" s="49"/>
      <c r="I64" s="39" t="str">
        <f t="shared" si="17"/>
        <v/>
      </c>
      <c r="J64" s="2"/>
      <c r="K64" s="38"/>
      <c r="L64" s="51"/>
      <c r="M64" s="52" t="str">
        <f t="shared" si="18"/>
        <v/>
      </c>
      <c r="N64" s="28" t="str">
        <f t="shared" si="19"/>
        <v/>
      </c>
      <c r="O64" s="29"/>
      <c r="P64" s="2"/>
      <c r="Q64" s="40"/>
      <c r="U64" s="29"/>
      <c r="V64" s="2"/>
      <c r="W64" s="121" t="s">
        <v>73</v>
      </c>
      <c r="X64" s="122"/>
      <c r="Y64" s="123"/>
      <c r="AB64" s="29"/>
      <c r="AC64" s="2"/>
      <c r="AD64" s="40"/>
      <c r="AE64" s="29"/>
      <c r="AG64" s="38"/>
      <c r="AH64" s="51"/>
      <c r="AI64" s="29"/>
    </row>
    <row r="65" spans="1:35" s="28" customFormat="1" ht="16.5" thickBot="1">
      <c r="A65" s="36">
        <v>24</v>
      </c>
      <c r="B65" s="28" t="s">
        <v>74</v>
      </c>
      <c r="C65" s="28" t="s">
        <v>40</v>
      </c>
      <c r="D65" s="37"/>
      <c r="E65" s="2"/>
      <c r="F65" s="38"/>
      <c r="G65" s="49" t="str">
        <f t="shared" si="4"/>
        <v/>
      </c>
      <c r="H65" s="49"/>
      <c r="I65" s="39" t="str">
        <f t="shared" si="17"/>
        <v/>
      </c>
      <c r="J65" s="2"/>
      <c r="K65" s="38"/>
      <c r="L65" s="51"/>
      <c r="M65" s="52" t="str">
        <f t="shared" si="18"/>
        <v/>
      </c>
      <c r="N65" s="28" t="str">
        <f t="shared" si="19"/>
        <v/>
      </c>
      <c r="O65" s="29"/>
      <c r="P65" s="2"/>
      <c r="Q65" s="40"/>
      <c r="U65" s="29"/>
      <c r="V65" s="2"/>
      <c r="W65" s="40"/>
      <c r="AB65" s="29"/>
      <c r="AC65" s="2"/>
      <c r="AD65" s="40"/>
      <c r="AE65" s="29"/>
      <c r="AG65" s="38"/>
      <c r="AH65" s="51"/>
      <c r="AI65" s="29"/>
    </row>
    <row r="66" spans="1:35" s="42" customFormat="1" ht="4.5" customHeight="1" thickBot="1">
      <c r="A66" s="41"/>
      <c r="D66" s="43"/>
      <c r="E66" s="44"/>
      <c r="F66" s="45"/>
      <c r="I66" s="48" t="str">
        <f t="shared" si="17"/>
        <v/>
      </c>
      <c r="J66" s="44"/>
      <c r="K66" s="45"/>
      <c r="L66" s="100"/>
      <c r="O66" s="48"/>
      <c r="P66" s="44"/>
      <c r="Q66" s="47"/>
      <c r="U66" s="48"/>
      <c r="V66" s="44"/>
      <c r="W66" s="47"/>
      <c r="AB66" s="48"/>
      <c r="AC66" s="44"/>
      <c r="AD66" s="47"/>
      <c r="AE66" s="48"/>
      <c r="AG66" s="45"/>
      <c r="AH66" s="100"/>
      <c r="AI66" s="48"/>
    </row>
    <row r="67" spans="1:35" ht="16.5" thickBot="1">
      <c r="A67" s="36"/>
      <c r="B67" s="28"/>
      <c r="C67" s="28"/>
      <c r="D67" s="37"/>
      <c r="E67" s="2"/>
      <c r="F67" s="38"/>
      <c r="G67" s="28"/>
      <c r="H67" s="28"/>
      <c r="I67" s="29" t="str">
        <f t="shared" si="17"/>
        <v/>
      </c>
      <c r="J67" s="2"/>
      <c r="K67" s="38"/>
      <c r="L67" s="51"/>
      <c r="M67" s="28"/>
      <c r="N67" s="28"/>
      <c r="O67" s="29"/>
      <c r="P67" s="2"/>
      <c r="Q67" s="40"/>
      <c r="R67" s="28"/>
      <c r="S67" s="28"/>
      <c r="T67" s="28"/>
      <c r="U67" s="29"/>
      <c r="V67" s="2"/>
      <c r="W67" s="40"/>
      <c r="X67" s="28"/>
      <c r="Y67" s="28"/>
      <c r="Z67" s="28"/>
      <c r="AA67" s="28"/>
      <c r="AB67" s="29"/>
      <c r="AC67" s="2"/>
      <c r="AD67" s="40"/>
      <c r="AE67" s="29"/>
      <c r="AG67" s="38"/>
      <c r="AH67" s="51"/>
      <c r="AI67" s="29"/>
    </row>
    <row r="68" spans="1:35" s="3" customFormat="1">
      <c r="A68" s="80" t="s">
        <v>75</v>
      </c>
      <c r="B68" s="3" t="s">
        <v>76</v>
      </c>
      <c r="C68" s="3" t="s">
        <v>44</v>
      </c>
      <c r="D68" s="81"/>
      <c r="E68" s="2"/>
      <c r="F68" s="82">
        <v>9.8799999999999999E-2</v>
      </c>
      <c r="G68" s="83">
        <f t="shared" ref="G68:G104" si="20">IF(F68="","",F68*25.4)</f>
        <v>2.5095199999999998</v>
      </c>
      <c r="H68" s="84">
        <f>$G$4/G68</f>
        <v>2.5303643724696357E-3</v>
      </c>
      <c r="I68" s="85">
        <f t="shared" si="17"/>
        <v>1.1754742610895121E-2</v>
      </c>
      <c r="J68" s="2"/>
      <c r="K68" s="82">
        <v>0.98299999999999998</v>
      </c>
      <c r="L68" s="86">
        <v>0.98399999999999999</v>
      </c>
      <c r="M68" s="87">
        <f>IF(K68="","",K68*L68)</f>
        <v>0.96727200000000002</v>
      </c>
      <c r="N68" s="87">
        <f>IF(M68="","",M68*2.54*2.54)</f>
        <v>6.2404520351999997</v>
      </c>
      <c r="O68" s="85">
        <f>(SQRT(K68^2*$L$4^2+L68^2*$K$4^2))/M68</f>
        <v>1.4379401226711544E-3</v>
      </c>
      <c r="P68" s="2"/>
      <c r="Q68" s="88">
        <v>9.9000000000000005E-2</v>
      </c>
      <c r="U68" s="4"/>
      <c r="V68" s="2"/>
      <c r="W68" s="88">
        <v>2.7538</v>
      </c>
      <c r="X68" s="3">
        <v>2.7538</v>
      </c>
      <c r="Z68" s="3">
        <f>AVERAGE(W68:Y68)</f>
        <v>2.7538</v>
      </c>
      <c r="AA68" s="90">
        <f>STDEV(W68:Y68)</f>
        <v>0</v>
      </c>
      <c r="AB68" s="91">
        <f>1/SQRT(COUNT(W68:Y68))*$Y$4/Z68</f>
        <v>5.1354984471388442E-4</v>
      </c>
      <c r="AC68" s="2"/>
      <c r="AD68" s="82">
        <f>Z68/N68</f>
        <v>0.44128213540731809</v>
      </c>
      <c r="AE68" s="85">
        <f>SQRT((1/N68)^2*(AB68*Z68)^2 + (Z68/N68^2)^2*(O68*N68)^2)/AD68</f>
        <v>1.5268939843332901E-3</v>
      </c>
      <c r="AG68" s="82">
        <f>AD68/(G68/10)</f>
        <v>1.7584324309322825</v>
      </c>
      <c r="AH68" s="86"/>
      <c r="AI68" s="4"/>
    </row>
    <row r="69" spans="1:35" s="28" customFormat="1">
      <c r="A69" s="36"/>
      <c r="D69" s="37"/>
      <c r="E69" s="2"/>
      <c r="F69" s="38">
        <v>9.8799999999999999E-2</v>
      </c>
      <c r="G69" s="49">
        <f t="shared" si="20"/>
        <v>2.5095199999999998</v>
      </c>
      <c r="H69" s="50">
        <f>$G$4/G69</f>
        <v>2.5303643724696357E-3</v>
      </c>
      <c r="I69" s="39" t="str">
        <f t="shared" si="17"/>
        <v/>
      </c>
      <c r="J69" s="2"/>
      <c r="K69" s="57">
        <v>0.98250000000000004</v>
      </c>
      <c r="L69" s="58">
        <v>0.98480000000000001</v>
      </c>
      <c r="M69" s="59">
        <f>IF(K69="","",AVERAGE(K69,K70)*AVERAGE(L69,L70))</f>
        <v>0.96963198750000001</v>
      </c>
      <c r="N69" s="59">
        <f>IF(M69="","",M69*2.54*2.54)</f>
        <v>6.255677730555</v>
      </c>
      <c r="O69" s="60">
        <f>(SQRT(K69^2*2*$F$4^2+L69^2*2*$F$4^2))/M69</f>
        <v>5.0722886874692388E-4</v>
      </c>
      <c r="P69" s="2"/>
      <c r="Q69" s="40"/>
      <c r="U69" s="29"/>
      <c r="V69" s="2"/>
      <c r="W69" s="40"/>
      <c r="AA69" s="54"/>
      <c r="AB69" s="55"/>
      <c r="AC69" s="2"/>
      <c r="AD69" s="38">
        <f>Z68/N69</f>
        <v>0.44020809872437028</v>
      </c>
      <c r="AE69" s="39"/>
      <c r="AG69" s="38">
        <f>AD69/(G69/10)</f>
        <v>1.7541525818657366</v>
      </c>
      <c r="AH69" s="51"/>
      <c r="AI69" s="29"/>
    </row>
    <row r="70" spans="1:35" s="62" customFormat="1" ht="16.5" thickBot="1">
      <c r="A70" s="61"/>
      <c r="D70" s="63"/>
      <c r="E70" s="2"/>
      <c r="F70" s="64"/>
      <c r="G70" s="65"/>
      <c r="H70" s="66"/>
      <c r="I70" s="67"/>
      <c r="J70" s="2"/>
      <c r="K70" s="68">
        <v>0.98399999999999999</v>
      </c>
      <c r="L70" s="69">
        <v>0.98750000000000004</v>
      </c>
      <c r="M70" s="70"/>
      <c r="N70" s="70"/>
      <c r="O70" s="71"/>
      <c r="P70" s="2"/>
      <c r="Q70" s="72"/>
      <c r="U70" s="97"/>
      <c r="V70" s="2"/>
      <c r="W70" s="72"/>
      <c r="AA70" s="75"/>
      <c r="AB70" s="76"/>
      <c r="AC70" s="2"/>
      <c r="AD70" s="64"/>
      <c r="AE70" s="67"/>
      <c r="AG70" s="64"/>
      <c r="AH70" s="77"/>
      <c r="AI70" s="97"/>
    </row>
    <row r="71" spans="1:35">
      <c r="A71" s="36" t="s">
        <v>77</v>
      </c>
      <c r="B71" s="28" t="s">
        <v>76</v>
      </c>
      <c r="C71" s="28" t="s">
        <v>44</v>
      </c>
      <c r="D71" s="37"/>
      <c r="E71" s="2"/>
      <c r="F71" s="38">
        <v>9.8799999999999999E-2</v>
      </c>
      <c r="G71" s="49">
        <f t="shared" si="20"/>
        <v>2.5095199999999998</v>
      </c>
      <c r="H71" s="50">
        <f>$G$4/G71</f>
        <v>2.5303643724696357E-3</v>
      </c>
      <c r="I71" s="39">
        <f>IF(G71="","",IF(C71="Al", G71/10/8.896, IF(C71="Pure Al", G71/10/8.896, IF(C71="C", G71/10/21.349, IF(C71="Be", G71/10/35.276, IF(C71="LH2", G71/10/871.902, ""))))))</f>
        <v>1.1754742610895121E-2</v>
      </c>
      <c r="J71" s="2"/>
      <c r="K71" s="38">
        <v>0.98199999999999998</v>
      </c>
      <c r="L71" s="51">
        <v>0.98499999999999999</v>
      </c>
      <c r="M71" s="52">
        <f>IF(K71="","",K71*L71)</f>
        <v>0.96726999999999996</v>
      </c>
      <c r="N71" s="52">
        <f>IF(M71="","",M71*2.54*2.54)</f>
        <v>6.2404391320000006</v>
      </c>
      <c r="O71" s="39">
        <f>(SQRT(K71^2*$L$4^2+L71^2*$K$4^2))/M71</f>
        <v>1.4379445824588887E-3</v>
      </c>
      <c r="P71" s="2"/>
      <c r="Q71" s="40">
        <v>9.9099999999999994E-2</v>
      </c>
      <c r="R71" s="28"/>
      <c r="S71" s="28"/>
      <c r="T71" s="28"/>
      <c r="U71" s="29"/>
      <c r="V71" s="2"/>
      <c r="W71" s="40">
        <v>2.7526000000000002</v>
      </c>
      <c r="X71" s="28">
        <v>2.7526999999999999</v>
      </c>
      <c r="Y71" s="28"/>
      <c r="Z71" s="28">
        <f>AVERAGE(W71:Y71)</f>
        <v>2.75265</v>
      </c>
      <c r="AA71" s="54">
        <f>STDEV(W71:Y71)</f>
        <v>7.0710678118489955E-5</v>
      </c>
      <c r="AB71" s="55">
        <f>1/SQRT(COUNT(W71:Y71))*$Y$4/Z71</f>
        <v>5.1376439517304966E-4</v>
      </c>
      <c r="AC71" s="2"/>
      <c r="AD71" s="38">
        <f>Z71/N71</f>
        <v>0.4410987659321664</v>
      </c>
      <c r="AE71" s="39">
        <f>SQRT((1/N71)^2*(AB71*Z71)^2 + (Z71/N71^2)^2*(O71*N71)^2)/AD71</f>
        <v>1.5269703585762226E-3</v>
      </c>
      <c r="AG71" s="38">
        <f>AD71/(G71/10)</f>
        <v>1.7577017355198066</v>
      </c>
      <c r="AH71" s="51"/>
      <c r="AI71" s="29"/>
    </row>
    <row r="72" spans="1:35">
      <c r="A72" s="36"/>
      <c r="B72" s="28"/>
      <c r="C72" s="28"/>
      <c r="D72" s="37"/>
      <c r="E72" s="2"/>
      <c r="F72" s="38">
        <v>9.9199999999999997E-2</v>
      </c>
      <c r="G72" s="49">
        <f t="shared" si="20"/>
        <v>2.5196799999999997</v>
      </c>
      <c r="H72" s="50">
        <f>$G$4/G72</f>
        <v>2.520161290322581E-3</v>
      </c>
      <c r="I72" s="39" t="str">
        <f>IF(G72="","",IF(C72="Al", G72/10/8.896, IF(C72="Pure Al", G72/10/8.896, IF(C72="C", G72/10/21.349, IF(C72="Be", G72/10/35.276, IF(C72="LH2", G72/10/871.902, ""))))))</f>
        <v/>
      </c>
      <c r="J72" s="2"/>
      <c r="K72" s="57">
        <v>0.98250000000000004</v>
      </c>
      <c r="L72" s="58">
        <v>0.98399999999999999</v>
      </c>
      <c r="M72" s="59">
        <f>IF(K72="","",AVERAGE(K72,K73)*AVERAGE(L72,L73))</f>
        <v>0.96825500000000009</v>
      </c>
      <c r="N72" s="59">
        <f>IF(M72="","",M72*2.54*2.54)</f>
        <v>6.2467939580000005</v>
      </c>
      <c r="O72" s="60">
        <f>(SQRT(K72^2*2*$F$4^2+L72^2*2*$F$4^2))/M72</f>
        <v>5.0774345913067744E-4</v>
      </c>
      <c r="P72" s="2"/>
      <c r="Q72" s="40"/>
      <c r="R72" s="28"/>
      <c r="S72" s="28"/>
      <c r="T72" s="28"/>
      <c r="U72" s="29"/>
      <c r="V72" s="2"/>
      <c r="W72" s="40"/>
      <c r="X72" s="28"/>
      <c r="Y72" s="28"/>
      <c r="Z72" s="28"/>
      <c r="AA72" s="54"/>
      <c r="AB72" s="55"/>
      <c r="AC72" s="2"/>
      <c r="AD72" s="38">
        <f>Z71/N72</f>
        <v>0.4406500388050737</v>
      </c>
      <c r="AE72" s="39"/>
      <c r="AG72" s="38">
        <f>AD72/(G72/10)</f>
        <v>1.7488333391743147</v>
      </c>
      <c r="AH72" s="51"/>
      <c r="AI72" s="29"/>
    </row>
    <row r="73" spans="1:35" ht="16.5" thickBot="1">
      <c r="A73" s="36"/>
      <c r="B73" s="28"/>
      <c r="C73" s="28"/>
      <c r="D73" s="37"/>
      <c r="E73" s="2"/>
      <c r="F73" s="38"/>
      <c r="G73" s="49"/>
      <c r="H73" s="50"/>
      <c r="I73" s="39"/>
      <c r="J73" s="2"/>
      <c r="K73" s="57">
        <v>0.98350000000000004</v>
      </c>
      <c r="L73" s="58">
        <v>0.98599999999999999</v>
      </c>
      <c r="M73" s="59"/>
      <c r="N73" s="59"/>
      <c r="O73" s="60"/>
      <c r="P73" s="2"/>
      <c r="Q73" s="40"/>
      <c r="R73" s="28"/>
      <c r="S73" s="28"/>
      <c r="T73" s="28"/>
      <c r="U73" s="29"/>
      <c r="V73" s="2"/>
      <c r="W73" s="40"/>
      <c r="X73" s="28"/>
      <c r="Y73" s="28"/>
      <c r="Z73" s="28"/>
      <c r="AA73" s="54"/>
      <c r="AB73" s="55"/>
      <c r="AC73" s="2"/>
      <c r="AD73" s="38"/>
      <c r="AE73" s="39"/>
      <c r="AG73" s="38"/>
      <c r="AH73" s="51"/>
      <c r="AI73" s="29"/>
    </row>
    <row r="74" spans="1:35" s="3" customFormat="1">
      <c r="A74" s="80" t="s">
        <v>78</v>
      </c>
      <c r="B74" s="3" t="s">
        <v>76</v>
      </c>
      <c r="C74" s="3" t="s">
        <v>44</v>
      </c>
      <c r="D74" s="81"/>
      <c r="E74" s="2"/>
      <c r="F74" s="82">
        <v>9.8799999999999999E-2</v>
      </c>
      <c r="G74" s="83">
        <f t="shared" si="20"/>
        <v>2.5095199999999998</v>
      </c>
      <c r="H74" s="84">
        <f>$G$4/G74</f>
        <v>2.5303643724696357E-3</v>
      </c>
      <c r="I74" s="85">
        <f>IF(G74="","",IF(C74="Al", G74/10/8.896, IF(C74="Pure Al", G74/10/8.896, IF(C74="C", G74/10/21.349, IF(C74="Be", G74/10/35.276, IF(C74="LH2", G74/10/871.902, ""))))))</f>
        <v>1.1754742610895121E-2</v>
      </c>
      <c r="J74" s="2"/>
      <c r="K74" s="82">
        <v>0.98199999999999998</v>
      </c>
      <c r="L74" s="86">
        <v>0.98199999999999998</v>
      </c>
      <c r="M74" s="87">
        <f>IF(K74="","",K74*L74)</f>
        <v>0.96432399999999996</v>
      </c>
      <c r="N74" s="87">
        <f>IF(M74="","",M74*2.54*2.54)</f>
        <v>6.2214327184</v>
      </c>
      <c r="O74" s="85">
        <f>(SQRT(K74^2*$L$4^2+L74^2*$K$4^2))/M74</f>
        <v>1.4401360105632333E-3</v>
      </c>
      <c r="P74" s="2"/>
      <c r="Q74" s="88">
        <v>9.9199999999999997E-2</v>
      </c>
      <c r="U74" s="4"/>
      <c r="V74" s="2"/>
      <c r="W74" s="88">
        <v>2.7566000000000002</v>
      </c>
      <c r="X74" s="3">
        <v>2.7564000000000002</v>
      </c>
      <c r="Z74" s="3">
        <f>AVERAGE(W74:Y74)</f>
        <v>2.7565</v>
      </c>
      <c r="AA74" s="90">
        <f>STDEV(W74:Y74)</f>
        <v>1.4142135623729392E-4</v>
      </c>
      <c r="AB74" s="91">
        <f>1/SQRT(COUNT(W74:Y74))*$Y$4/Z74</f>
        <v>5.1304682110397059E-4</v>
      </c>
      <c r="AC74" s="2"/>
      <c r="AD74" s="82">
        <f>Z74/N74</f>
        <v>0.44306514669002228</v>
      </c>
      <c r="AE74" s="85">
        <f>SQRT((1/N74)^2*(AB74*Z74)^2 + (Z74/N74^2)^2*(O74*N74)^2)/AD74</f>
        <v>1.5287932396389889E-3</v>
      </c>
      <c r="AG74" s="82">
        <f>AD74/(G74/10)</f>
        <v>1.7655374202637253</v>
      </c>
      <c r="AH74" s="86"/>
      <c r="AI74" s="4"/>
    </row>
    <row r="75" spans="1:35" s="28" customFormat="1">
      <c r="A75" s="36"/>
      <c r="D75" s="37"/>
      <c r="E75" s="2"/>
      <c r="F75" s="38">
        <v>9.8799999999999999E-2</v>
      </c>
      <c r="G75" s="49">
        <f t="shared" si="20"/>
        <v>2.5095199999999998</v>
      </c>
      <c r="H75" s="50">
        <f>$G$4/G75</f>
        <v>2.5303643724696357E-3</v>
      </c>
      <c r="I75" s="39" t="str">
        <f>IF(G75="","",IF(C75="Al", G75/10/8.896, IF(C75="Pure Al", G75/10/8.896, IF(C75="C", G75/10/21.349, IF(C75="Be", G75/10/35.276, IF(C75="LH2", G75/10/871.902, ""))))))</f>
        <v/>
      </c>
      <c r="J75" s="2"/>
      <c r="K75" s="57">
        <v>0.98219999999999996</v>
      </c>
      <c r="L75" s="58">
        <v>0.98299999999999998</v>
      </c>
      <c r="M75" s="59">
        <f>IF(K75="","",AVERAGE(K75,K76)*AVERAGE(L75,L76))</f>
        <v>0.96604321500000001</v>
      </c>
      <c r="N75" s="59">
        <f>IF(M75="","",M75*2.54*2.54)</f>
        <v>6.2325244058939999</v>
      </c>
      <c r="O75" s="60">
        <f>(SQRT(K75^2*2*$F$4^2+L75^2*2*$F$4^2))/M75</f>
        <v>5.0856942327194251E-4</v>
      </c>
      <c r="P75" s="2"/>
      <c r="Q75" s="40"/>
      <c r="U75" s="29"/>
      <c r="V75" s="2"/>
      <c r="W75" s="40"/>
      <c r="AA75" s="54"/>
      <c r="AB75" s="55"/>
      <c r="AC75" s="2"/>
      <c r="AD75" s="38">
        <f>Z74/N75</f>
        <v>0.44227664754801788</v>
      </c>
      <c r="AE75" s="39"/>
      <c r="AG75" s="38">
        <f>AD75/(G75/10)</f>
        <v>1.7623953885524641</v>
      </c>
      <c r="AH75" s="51"/>
      <c r="AI75" s="29"/>
    </row>
    <row r="76" spans="1:35" s="62" customFormat="1" ht="16.5" thickBot="1">
      <c r="A76" s="61"/>
      <c r="D76" s="63"/>
      <c r="E76" s="2"/>
      <c r="F76" s="64"/>
      <c r="G76" s="65"/>
      <c r="H76" s="66"/>
      <c r="I76" s="67"/>
      <c r="J76" s="2"/>
      <c r="K76" s="68">
        <v>0.98399999999999999</v>
      </c>
      <c r="L76" s="69">
        <v>0.98229999999999995</v>
      </c>
      <c r="M76" s="70"/>
      <c r="N76" s="70"/>
      <c r="O76" s="71"/>
      <c r="P76" s="2"/>
      <c r="Q76" s="72"/>
      <c r="U76" s="97"/>
      <c r="V76" s="2"/>
      <c r="W76" s="72"/>
      <c r="AA76" s="75"/>
      <c r="AB76" s="76"/>
      <c r="AC76" s="2"/>
      <c r="AD76" s="64"/>
      <c r="AE76" s="67"/>
      <c r="AG76" s="64"/>
      <c r="AH76" s="77"/>
      <c r="AI76" s="97"/>
    </row>
    <row r="77" spans="1:35">
      <c r="A77" s="36" t="s">
        <v>79</v>
      </c>
      <c r="B77" s="28" t="s">
        <v>76</v>
      </c>
      <c r="C77" s="28" t="s">
        <v>44</v>
      </c>
      <c r="D77" s="37"/>
      <c r="E77" s="2"/>
      <c r="F77" s="38">
        <v>9.8799999999999999E-2</v>
      </c>
      <c r="G77" s="49">
        <f t="shared" si="20"/>
        <v>2.5095199999999998</v>
      </c>
      <c r="H77" s="50">
        <f>$G$4/G77</f>
        <v>2.5303643724696357E-3</v>
      </c>
      <c r="I77" s="39">
        <f>IF(G77="","",IF(C77="Al", G77/10/8.896, IF(C77="Pure Al", G77/10/8.896, IF(C77="C", G77/10/21.349, IF(C77="Be", G77/10/35.276, IF(C77="LH2", G77/10/871.902, ""))))))</f>
        <v>1.1754742610895121E-2</v>
      </c>
      <c r="J77" s="2"/>
      <c r="K77" s="38">
        <v>0.98199999999999998</v>
      </c>
      <c r="L77" s="51">
        <v>0.98199999999999998</v>
      </c>
      <c r="M77" s="52">
        <f>IF(K77="","",K77*L77)</f>
        <v>0.96432399999999996</v>
      </c>
      <c r="N77" s="52">
        <f>IF(M77="","",M77*2.54*2.54)</f>
        <v>6.2214327184</v>
      </c>
      <c r="O77" s="39">
        <f>(SQRT(K77^2*$L$4^2+L77^2*$K$4^2))/M77</f>
        <v>1.4401360105632333E-3</v>
      </c>
      <c r="P77" s="2"/>
      <c r="Q77" s="40">
        <v>9.9000000000000005E-2</v>
      </c>
      <c r="R77" s="28"/>
      <c r="S77" s="28"/>
      <c r="T77" s="28"/>
      <c r="U77" s="29"/>
      <c r="V77" s="2"/>
      <c r="W77" s="40">
        <v>2.7385000000000002</v>
      </c>
      <c r="X77" s="28">
        <v>2.7382</v>
      </c>
      <c r="Y77" s="28"/>
      <c r="Z77" s="28">
        <f>AVERAGE(W77:Y77)</f>
        <v>2.7383500000000001</v>
      </c>
      <c r="AA77" s="54">
        <f>STDEV(W77:Y77)</f>
        <v>2.121320343560979E-4</v>
      </c>
      <c r="AB77" s="55">
        <f>1/SQRT(COUNT(W77:Y77))*$Y$4/Z77</f>
        <v>5.1644733594065589E-4</v>
      </c>
      <c r="AC77" s="2"/>
      <c r="AD77" s="38">
        <f>Z77/N77</f>
        <v>0.44014781223965987</v>
      </c>
      <c r="AE77" s="39">
        <f>SQRT((1/N77)^2*(AB77*Z77)^2 + (Z77/N77^2)^2*(O77*N77)^2)/AD77</f>
        <v>1.5299377698851633E-3</v>
      </c>
      <c r="AG77" s="38">
        <f>AD77/(G77/10)</f>
        <v>1.7539123507270711</v>
      </c>
      <c r="AH77" s="51"/>
      <c r="AI77" s="29"/>
    </row>
    <row r="78" spans="1:35">
      <c r="A78" s="36"/>
      <c r="B78" s="28"/>
      <c r="C78" s="28"/>
      <c r="D78" s="37"/>
      <c r="E78" s="2"/>
      <c r="F78" s="38">
        <v>9.8799999999999999E-2</v>
      </c>
      <c r="G78" s="49">
        <f t="shared" si="20"/>
        <v>2.5095199999999998</v>
      </c>
      <c r="H78" s="50">
        <f>$G$4/G78</f>
        <v>2.5303643724696357E-3</v>
      </c>
      <c r="I78" s="39" t="str">
        <f>IF(G78="","",IF(C78="Al", G78/10/8.896, IF(C78="Pure Al", G78/10/8.896, IF(C78="C", G78/10/21.349, IF(C78="Be", G78/10/35.276, IF(C78="LH2", G78/10/871.902, ""))))))</f>
        <v/>
      </c>
      <c r="J78" s="2"/>
      <c r="K78" s="57">
        <v>0.98199999999999998</v>
      </c>
      <c r="L78" s="58">
        <v>0.98150000000000004</v>
      </c>
      <c r="M78" s="59">
        <f>IF(K78="","",AVERAGE(K78,K79)*AVERAGE(L78,L79))</f>
        <v>0.96407849999999995</v>
      </c>
      <c r="N78" s="59">
        <f>IF(M78="","",M78*2.54*2.54)</f>
        <v>6.2198488505999991</v>
      </c>
      <c r="O78" s="60">
        <f>(SQRT(K78^2*2*$F$4^2+L78^2*2*$F$4^2))/M78</f>
        <v>5.091649859585676E-4</v>
      </c>
      <c r="P78" s="2"/>
      <c r="Q78" s="40"/>
      <c r="R78" s="28"/>
      <c r="S78" s="28"/>
      <c r="T78" s="28"/>
      <c r="U78" s="29"/>
      <c r="V78" s="2"/>
      <c r="W78" s="40"/>
      <c r="X78" s="28"/>
      <c r="Y78" s="28"/>
      <c r="Z78" s="28"/>
      <c r="AA78" s="54"/>
      <c r="AB78" s="55"/>
      <c r="AC78" s="2"/>
      <c r="AD78" s="38">
        <f>Z77/N78</f>
        <v>0.44025989469757687</v>
      </c>
      <c r="AE78" s="39"/>
      <c r="AG78" s="38">
        <f>AD78/(G78/10)</f>
        <v>1.7543589797952475</v>
      </c>
      <c r="AH78" s="51"/>
      <c r="AI78" s="29"/>
    </row>
    <row r="79" spans="1:35" ht="16.5" thickBot="1">
      <c r="A79" s="36"/>
      <c r="B79" s="28"/>
      <c r="C79" s="28"/>
      <c r="D79" s="37"/>
      <c r="E79" s="2"/>
      <c r="F79" s="38"/>
      <c r="G79" s="49"/>
      <c r="H79" s="50"/>
      <c r="I79" s="39"/>
      <c r="J79" s="2"/>
      <c r="K79" s="57">
        <v>0.98199999999999998</v>
      </c>
      <c r="L79" s="58">
        <v>0.98199999999999998</v>
      </c>
      <c r="M79" s="59"/>
      <c r="N79" s="59"/>
      <c r="O79" s="60"/>
      <c r="P79" s="2"/>
      <c r="Q79" s="40"/>
      <c r="R79" s="28"/>
      <c r="S79" s="28"/>
      <c r="T79" s="28"/>
      <c r="U79" s="29"/>
      <c r="V79" s="2"/>
      <c r="W79" s="40"/>
      <c r="X79" s="28"/>
      <c r="Y79" s="28"/>
      <c r="Z79" s="28"/>
      <c r="AA79" s="54"/>
      <c r="AB79" s="55"/>
      <c r="AC79" s="2"/>
      <c r="AD79" s="38"/>
      <c r="AE79" s="39"/>
      <c r="AG79" s="38"/>
      <c r="AH79" s="51"/>
      <c r="AI79" s="29"/>
    </row>
    <row r="80" spans="1:35" s="3" customFormat="1">
      <c r="A80" s="80">
        <v>7</v>
      </c>
      <c r="B80" s="3" t="s">
        <v>76</v>
      </c>
      <c r="C80" s="3" t="s">
        <v>44</v>
      </c>
      <c r="D80" s="81"/>
      <c r="E80" s="2"/>
      <c r="F80" s="82">
        <v>9.8799999999999999E-2</v>
      </c>
      <c r="G80" s="83">
        <f t="shared" si="20"/>
        <v>2.5095199999999998</v>
      </c>
      <c r="H80" s="84">
        <f>$G$4/G80</f>
        <v>2.5303643724696357E-3</v>
      </c>
      <c r="I80" s="85">
        <f>IF(G80="","",IF(C80="Al", G80/10/8.896, IF(C80="Pure Al", G80/10/8.896, IF(C80="C", G80/10/21.349, IF(C80="Be", G80/10/35.276, IF(C80="LH2", G80/10/871.902, ""))))))</f>
        <v>1.1754742610895121E-2</v>
      </c>
      <c r="J80" s="2"/>
      <c r="K80" s="82">
        <v>0.98399999999999999</v>
      </c>
      <c r="L80" s="86">
        <v>0.98299999999999998</v>
      </c>
      <c r="M80" s="87">
        <f>IF(K80="","",K80*L80)</f>
        <v>0.96727200000000002</v>
      </c>
      <c r="N80" s="87">
        <f>IF(M80="","",M80*2.54*2.54)</f>
        <v>6.2404520351999997</v>
      </c>
      <c r="O80" s="85">
        <f>(SQRT(K80^2*$L$4^2+L80^2*$K$4^2))/M80</f>
        <v>1.4379401226711544E-3</v>
      </c>
      <c r="P80" s="2"/>
      <c r="Q80" s="88">
        <v>9.98E-2</v>
      </c>
      <c r="U80" s="4"/>
      <c r="V80" s="2"/>
      <c r="W80" s="88">
        <v>2.7606000000000002</v>
      </c>
      <c r="X80" s="3">
        <v>2.7603</v>
      </c>
      <c r="Z80" s="3">
        <f>AVERAGE(W80:Y80)</f>
        <v>2.7604500000000001</v>
      </c>
      <c r="AA80" s="90">
        <f>STDEV(W80:Y80)</f>
        <v>2.121320343560979E-4</v>
      </c>
      <c r="AB80" s="91">
        <f>1/SQRT(COUNT(W80:Y80))*$Y$4/Z80</f>
        <v>5.1231268900834832E-4</v>
      </c>
      <c r="AC80" s="2"/>
      <c r="AD80" s="82">
        <f>Z80/N80</f>
        <v>0.44234776333979636</v>
      </c>
      <c r="AE80" s="85">
        <f>SQRT((1/N80)^2*(AB80*Z80)^2 + (Z80/N80^2)^2*(O80*N80)^2)/AD80</f>
        <v>1.5264783286068949E-3</v>
      </c>
      <c r="AG80" s="82">
        <f>AD80/(G80/10)</f>
        <v>1.762678772593151</v>
      </c>
      <c r="AH80" s="86"/>
      <c r="AI80" s="4"/>
    </row>
    <row r="81" spans="1:35" s="28" customFormat="1">
      <c r="A81" s="36"/>
      <c r="D81" s="37"/>
      <c r="E81" s="2"/>
      <c r="F81" s="38">
        <v>9.8799999999999999E-2</v>
      </c>
      <c r="G81" s="49">
        <f t="shared" si="20"/>
        <v>2.5095199999999998</v>
      </c>
      <c r="H81" s="50">
        <f>$G$4/G81</f>
        <v>2.5303643724696357E-3</v>
      </c>
      <c r="I81" s="39" t="str">
        <f>IF(G81="","",IF(C81="Al", G81/10/8.896, IF(C81="Pure Al", G81/10/8.896, IF(C81="C", G81/10/21.349, IF(C81="Be", G81/10/35.276, IF(C81="LH2", G81/10/871.902, ""))))))</f>
        <v/>
      </c>
      <c r="J81" s="2"/>
      <c r="K81" s="57">
        <v>0.98499999999999999</v>
      </c>
      <c r="L81" s="58">
        <v>0.98480000000000001</v>
      </c>
      <c r="M81" s="59">
        <f>IF(K81="","",AVERAGE(K81,K82)*AVERAGE(L81,L82))</f>
        <v>0.96987960000000006</v>
      </c>
      <c r="N81" s="59">
        <f>IF(M81="","",M81*2.54*2.54)</f>
        <v>6.2572752273600001</v>
      </c>
      <c r="O81" s="60">
        <f>(SQRT(K81^2*2*$F$4^2+L81^2*2*$F$4^2))/M81</f>
        <v>5.0774343798789948E-4</v>
      </c>
      <c r="P81" s="2"/>
      <c r="Q81" s="40"/>
      <c r="U81" s="29"/>
      <c r="V81" s="2"/>
      <c r="W81" s="40"/>
      <c r="AA81" s="54"/>
      <c r="AB81" s="55"/>
      <c r="AC81" s="2"/>
      <c r="AD81" s="38">
        <f>Z80/N81</f>
        <v>0.44115847548624748</v>
      </c>
      <c r="AE81" s="39"/>
      <c r="AG81" s="38">
        <f>AD81/(G81/10)</f>
        <v>1.7579396676904251</v>
      </c>
      <c r="AH81" s="51"/>
      <c r="AI81" s="29"/>
    </row>
    <row r="82" spans="1:35" s="62" customFormat="1" ht="16.5" thickBot="1">
      <c r="A82" s="61"/>
      <c r="D82" s="63"/>
      <c r="E82" s="2"/>
      <c r="F82" s="64"/>
      <c r="G82" s="65"/>
      <c r="H82" s="66"/>
      <c r="I82" s="67"/>
      <c r="J82" s="2"/>
      <c r="K82" s="68">
        <v>0.98299999999999998</v>
      </c>
      <c r="L82" s="69">
        <v>0.98650000000000004</v>
      </c>
      <c r="M82" s="70"/>
      <c r="N82" s="70"/>
      <c r="O82" s="71"/>
      <c r="P82" s="2"/>
      <c r="Q82" s="72"/>
      <c r="U82" s="97"/>
      <c r="V82" s="2"/>
      <c r="W82" s="72"/>
      <c r="AA82" s="75"/>
      <c r="AB82" s="76"/>
      <c r="AC82" s="2"/>
      <c r="AD82" s="64"/>
      <c r="AE82" s="67"/>
      <c r="AG82" s="64"/>
      <c r="AH82" s="77"/>
      <c r="AI82" s="97"/>
    </row>
    <row r="83" spans="1:35" ht="16.5" thickBot="1">
      <c r="A83" s="36"/>
      <c r="B83" s="28"/>
      <c r="C83" s="28"/>
      <c r="D83" s="37"/>
      <c r="E83" s="2"/>
      <c r="F83" s="38"/>
      <c r="G83" s="49" t="str">
        <f t="shared" si="20"/>
        <v/>
      </c>
      <c r="H83" s="49"/>
      <c r="I83" s="39" t="str">
        <f>IF(G83="","",IF(C83="Al", G83/10/8.896, IF(C83="Pure Al", G83/10/8.896, IF(C83="C", G83/10/21.349, IF(C83="Be", G83/10/35.276, IF(C83="LH2", G83/10/871.902, ""))))))</f>
        <v/>
      </c>
      <c r="J83" s="2"/>
      <c r="K83" s="38"/>
      <c r="L83" s="51"/>
      <c r="M83" s="52" t="str">
        <f>IF(K83="","",K83*L83)</f>
        <v/>
      </c>
      <c r="N83" s="52" t="str">
        <f>IF(M83="","",M83*2.54*2.54)</f>
        <v/>
      </c>
      <c r="O83" s="98"/>
      <c r="P83" s="2"/>
      <c r="Q83" s="40"/>
      <c r="R83" s="28"/>
      <c r="S83" s="28"/>
      <c r="T83" s="28"/>
      <c r="U83" s="29"/>
      <c r="V83" s="2"/>
      <c r="W83" s="40"/>
      <c r="X83" s="28"/>
      <c r="Y83" s="28"/>
      <c r="Z83" s="28"/>
      <c r="AA83" s="54"/>
      <c r="AB83" s="29"/>
      <c r="AC83" s="2"/>
      <c r="AD83" s="40"/>
      <c r="AE83" s="29"/>
      <c r="AG83" s="38"/>
      <c r="AH83" s="51"/>
      <c r="AI83" s="29"/>
    </row>
    <row r="84" spans="1:35" s="3" customFormat="1">
      <c r="A84" s="80" t="s">
        <v>80</v>
      </c>
      <c r="B84" s="3" t="s">
        <v>76</v>
      </c>
      <c r="C84" s="3" t="s">
        <v>81</v>
      </c>
      <c r="D84" s="81"/>
      <c r="E84" s="2"/>
      <c r="F84" s="82">
        <v>4.0500000000000001E-2</v>
      </c>
      <c r="G84" s="83">
        <f t="shared" si="20"/>
        <v>1.0286999999999999</v>
      </c>
      <c r="H84" s="84">
        <f>$G$4/G84</f>
        <v>6.1728395061728392E-3</v>
      </c>
      <c r="I84" s="85">
        <f>IF(G84="","",IF(C84="Al", G84/10/8.896, IF(C84="Pure Al", G84/10/8.896, IF(C84="C", G84/10/21.349, IF(C84="Be", G84/10/35.276, IF(C84="LH2", G84/10/871.902, ""))))))</f>
        <v>1.1563624100719422E-2</v>
      </c>
      <c r="J84" s="2"/>
      <c r="K84" s="82">
        <v>0.99</v>
      </c>
      <c r="L84" s="86">
        <v>1</v>
      </c>
      <c r="M84" s="87">
        <f>IF(K84="","",K84*L84)</f>
        <v>0.99</v>
      </c>
      <c r="N84" s="87">
        <f>IF(M84="","",M84*2.54*2.54)</f>
        <v>6.3870840000000006</v>
      </c>
      <c r="O84" s="85">
        <f>(SQRT(K84^2*$L$4^2+L84^2*$K$4^2))/M84</f>
        <v>1.4213740009607185E-3</v>
      </c>
      <c r="P84" s="2"/>
      <c r="Q84" s="88">
        <v>4.0099999999999997E-2</v>
      </c>
      <c r="U84" s="4"/>
      <c r="V84" s="2"/>
      <c r="W84" s="88">
        <v>1.7396</v>
      </c>
      <c r="X84" s="3">
        <v>1.7394000000000001</v>
      </c>
      <c r="Z84" s="3">
        <f>AVERAGE(W84:Y84)</f>
        <v>1.7395</v>
      </c>
      <c r="AA84" s="90">
        <f>STDEV(W84:Y84)</f>
        <v>1.4142135623729392E-4</v>
      </c>
      <c r="AB84" s="91">
        <f>1/SQRT(COUNT(W84:Y84))*$Y$4/Z84</f>
        <v>8.1300003585691003E-4</v>
      </c>
      <c r="AC84" s="2"/>
      <c r="AD84" s="82">
        <f>Z84/N84</f>
        <v>0.27234650428896817</v>
      </c>
      <c r="AE84" s="85">
        <f>SQRT((1/N84)^2*(AB84*Z84)^2 + (Z84/N84^2)^2*(O84*N84)^2)/AD84</f>
        <v>1.637459345727526E-3</v>
      </c>
      <c r="AG84" s="82">
        <f>AD84/(G84/10)</f>
        <v>2.6474823008551396</v>
      </c>
      <c r="AH84" s="86"/>
      <c r="AI84" s="4"/>
    </row>
    <row r="85" spans="1:35" s="28" customFormat="1">
      <c r="A85" s="36"/>
      <c r="D85" s="37"/>
      <c r="E85" s="2"/>
      <c r="F85" s="38">
        <v>4.0500000000000001E-2</v>
      </c>
      <c r="G85" s="49">
        <f t="shared" si="20"/>
        <v>1.0286999999999999</v>
      </c>
      <c r="H85" s="50">
        <f>$G$4/G85</f>
        <v>6.1728395061728392E-3</v>
      </c>
      <c r="I85" s="39" t="str">
        <f>IF(G85="","",IF(C85="Al", G85/10/8.896, IF(C85="Pure Al", G85/10/8.896, IF(C85="C", G85/10/21.349, IF(C85="Be", G85/10/35.276, IF(C85="LH2", G85/10/871.902, ""))))))</f>
        <v/>
      </c>
      <c r="J85" s="2"/>
      <c r="K85" s="57">
        <v>1</v>
      </c>
      <c r="L85" s="58">
        <v>1</v>
      </c>
      <c r="M85" s="59">
        <f>IF(K85="","",AVERAGE(K85,K86)*AVERAGE(L85,L86))</f>
        <v>0.99500225000000009</v>
      </c>
      <c r="N85" s="59">
        <f>IF(M85="","",M85*2.54*2.54)</f>
        <v>6.4193565161000006</v>
      </c>
      <c r="O85" s="60">
        <f>(SQRT(K85^2*2*$F$4^2+L85^2*2*$F$4^2))/M85</f>
        <v>5.0251142648169889E-4</v>
      </c>
      <c r="P85" s="2"/>
      <c r="Q85" s="40"/>
      <c r="U85" s="29"/>
      <c r="V85" s="2"/>
      <c r="W85" s="40"/>
      <c r="AA85" s="54"/>
      <c r="AB85" s="55"/>
      <c r="AC85" s="2"/>
      <c r="AD85" s="38">
        <f>Z84/N85</f>
        <v>0.27097731612775594</v>
      </c>
      <c r="AE85" s="39"/>
      <c r="AG85" s="38">
        <f>AD85/(G85/10)</f>
        <v>2.6341724130237774</v>
      </c>
      <c r="AH85" s="51"/>
      <c r="AI85" s="29"/>
    </row>
    <row r="86" spans="1:35" s="62" customFormat="1" ht="16.5" thickBot="1">
      <c r="A86" s="61"/>
      <c r="D86" s="63"/>
      <c r="E86" s="2"/>
      <c r="F86" s="64"/>
      <c r="G86" s="65"/>
      <c r="H86" s="66"/>
      <c r="I86" s="67"/>
      <c r="J86" s="2"/>
      <c r="K86" s="68">
        <v>0.99099999999999999</v>
      </c>
      <c r="L86" s="69">
        <v>0.999</v>
      </c>
      <c r="M86" s="70"/>
      <c r="N86" s="70"/>
      <c r="O86" s="71"/>
      <c r="P86" s="2"/>
      <c r="Q86" s="72"/>
      <c r="U86" s="97"/>
      <c r="V86" s="2"/>
      <c r="W86" s="72"/>
      <c r="AA86" s="75"/>
      <c r="AB86" s="76"/>
      <c r="AC86" s="2"/>
      <c r="AD86" s="64"/>
      <c r="AE86" s="67"/>
      <c r="AG86" s="64"/>
      <c r="AH86" s="77"/>
      <c r="AI86" s="97"/>
    </row>
    <row r="87" spans="1:35">
      <c r="A87" s="36" t="s">
        <v>82</v>
      </c>
      <c r="B87" s="28" t="s">
        <v>76</v>
      </c>
      <c r="C87" s="28" t="s">
        <v>81</v>
      </c>
      <c r="D87" s="37"/>
      <c r="E87" s="2"/>
      <c r="F87" s="38">
        <v>4.0500000000000001E-2</v>
      </c>
      <c r="G87" s="49">
        <f t="shared" si="20"/>
        <v>1.0286999999999999</v>
      </c>
      <c r="H87" s="50">
        <f>$G$4/G87</f>
        <v>6.1728395061728392E-3</v>
      </c>
      <c r="I87" s="39">
        <f>IF(G87="","",IF(C87="Al", G87/10/8.896, IF(C87="Pure Al", G87/10/8.896, IF(C87="C", G87/10/21.349, IF(C87="Be", G87/10/35.276, IF(C87="LH2", G87/10/871.902, ""))))))</f>
        <v>1.1563624100719422E-2</v>
      </c>
      <c r="J87" s="2"/>
      <c r="K87" s="38">
        <v>0.995</v>
      </c>
      <c r="L87" s="51">
        <v>0.99399999999999999</v>
      </c>
      <c r="M87" s="52">
        <f>IF(K87="","",K87*L87)</f>
        <v>0.98902999999999996</v>
      </c>
      <c r="N87" s="52">
        <f>IF(M87="","",M87*2.54*2.54)</f>
        <v>6.380825948</v>
      </c>
      <c r="O87" s="39">
        <f>(SQRT(K87^2*$L$4^2+L87^2*$K$4^2))/M87</f>
        <v>1.4220352926952429E-3</v>
      </c>
      <c r="P87" s="2"/>
      <c r="Q87" s="40">
        <v>3.9800000000000002E-2</v>
      </c>
      <c r="R87" s="28"/>
      <c r="S87" s="28"/>
      <c r="T87" s="28"/>
      <c r="U87" s="29"/>
      <c r="V87" s="2"/>
      <c r="W87" s="40">
        <v>1.7322</v>
      </c>
      <c r="X87" s="28">
        <v>1.7323</v>
      </c>
      <c r="Y87" s="28"/>
      <c r="Z87" s="28">
        <f>AVERAGE(W87:Y87)</f>
        <v>1.7322500000000001</v>
      </c>
      <c r="AA87" s="54">
        <f>STDEV(W87:Y87)</f>
        <v>7.0710678118646961E-5</v>
      </c>
      <c r="AB87" s="55">
        <f>1/SQRT(COUNT(W87:Y87))*$Y$4/Z87</f>
        <v>8.1640269151282718E-4</v>
      </c>
      <c r="AC87" s="2"/>
      <c r="AD87" s="38">
        <f>Z87/N87</f>
        <v>0.27147739401087329</v>
      </c>
      <c r="AE87" s="39">
        <f>SQRT((1/N87)^2*(AB87*Z87)^2 + (Z87/N87^2)^2*(O87*N87)^2)/AD87</f>
        <v>1.6397248941149346E-3</v>
      </c>
      <c r="AG87" s="38">
        <f>AD87/(G87/10)</f>
        <v>2.6390336736742812</v>
      </c>
      <c r="AH87" s="51"/>
      <c r="AI87" s="29"/>
    </row>
    <row r="88" spans="1:35">
      <c r="A88" s="36"/>
      <c r="B88" s="28"/>
      <c r="C88" s="28"/>
      <c r="D88" s="37"/>
      <c r="E88" s="2"/>
      <c r="F88" s="38">
        <v>4.0500000000000001E-2</v>
      </c>
      <c r="G88" s="49">
        <f t="shared" si="20"/>
        <v>1.0286999999999999</v>
      </c>
      <c r="H88" s="50">
        <f>$G$4/G88</f>
        <v>6.1728395061728392E-3</v>
      </c>
      <c r="I88" s="39" t="str">
        <f>IF(G88="","",IF(C88="Al", G88/10/8.896, IF(C88="Pure Al", G88/10/8.896, IF(C88="C", G88/10/21.349, IF(C88="Be", G88/10/35.276, IF(C88="LH2", G88/10/871.902, ""))))))</f>
        <v/>
      </c>
      <c r="J88" s="2"/>
      <c r="K88" s="57">
        <v>0.99399999999999999</v>
      </c>
      <c r="L88" s="58">
        <v>0.997</v>
      </c>
      <c r="M88" s="59">
        <f>IF(K88="","",AVERAGE(K88,K89)*AVERAGE(L88,L89))</f>
        <v>0.98991766250000002</v>
      </c>
      <c r="N88" s="59">
        <f>IF(M88="","",M88*2.54*2.54)</f>
        <v>6.3865527913850002</v>
      </c>
      <c r="O88" s="60">
        <f>(SQRT(K88^2*2*$F$4^2+L88^2*2*$F$4^2))/M88</f>
        <v>5.0282016767467413E-4</v>
      </c>
      <c r="P88" s="2"/>
      <c r="Q88" s="40"/>
      <c r="R88" s="28"/>
      <c r="S88" s="28"/>
      <c r="T88" s="28"/>
      <c r="U88" s="29"/>
      <c r="V88" s="2"/>
      <c r="W88" s="40"/>
      <c r="X88" s="28"/>
      <c r="Y88" s="28"/>
      <c r="Z88" s="28"/>
      <c r="AA88" s="54"/>
      <c r="AB88" s="55"/>
      <c r="AC88" s="2"/>
      <c r="AD88" s="38">
        <f>Z87/N88</f>
        <v>0.27123395931787814</v>
      </c>
      <c r="AE88" s="39"/>
      <c r="AG88" s="38">
        <f>AD88/(G88/10)</f>
        <v>2.6366672432961811</v>
      </c>
      <c r="AH88" s="51"/>
      <c r="AI88" s="29"/>
    </row>
    <row r="89" spans="1:35" ht="16.5" thickBot="1">
      <c r="A89" s="36"/>
      <c r="B89" s="28"/>
      <c r="C89" s="28"/>
      <c r="D89" s="37"/>
      <c r="E89" s="2"/>
      <c r="F89" s="38"/>
      <c r="G89" s="49"/>
      <c r="H89" s="50"/>
      <c r="I89" s="39"/>
      <c r="J89" s="2"/>
      <c r="K89" s="57">
        <v>0.99029999999999996</v>
      </c>
      <c r="L89" s="58">
        <v>0.99850000000000005</v>
      </c>
      <c r="M89" s="59"/>
      <c r="N89" s="59"/>
      <c r="O89" s="60"/>
      <c r="P89" s="2"/>
      <c r="Q89" s="40"/>
      <c r="R89" s="28"/>
      <c r="S89" s="28"/>
      <c r="T89" s="28"/>
      <c r="U89" s="29"/>
      <c r="V89" s="2"/>
      <c r="W89" s="40"/>
      <c r="X89" s="28"/>
      <c r="Y89" s="28"/>
      <c r="Z89" s="28"/>
      <c r="AA89" s="54"/>
      <c r="AB89" s="55"/>
      <c r="AC89" s="2"/>
      <c r="AD89" s="38"/>
      <c r="AE89" s="39"/>
      <c r="AG89" s="38"/>
      <c r="AH89" s="51"/>
      <c r="AI89" s="29"/>
    </row>
    <row r="90" spans="1:35" s="3" customFormat="1">
      <c r="A90" s="80" t="s">
        <v>83</v>
      </c>
      <c r="B90" s="3" t="s">
        <v>76</v>
      </c>
      <c r="C90" s="3" t="s">
        <v>81</v>
      </c>
      <c r="D90" s="81"/>
      <c r="E90" s="2"/>
      <c r="F90" s="82">
        <v>4.0500000000000001E-2</v>
      </c>
      <c r="G90" s="83">
        <f t="shared" si="20"/>
        <v>1.0286999999999999</v>
      </c>
      <c r="H90" s="84">
        <f>$G$4/G90</f>
        <v>6.1728395061728392E-3</v>
      </c>
      <c r="I90" s="85">
        <f>IF(G90="","",IF(C90="Al", G90/10/8.896, IF(C90="Pure Al", G90/10/8.896, IF(C90="C", G90/10/21.349, IF(C90="Be", G90/10/35.276, IF(C90="LH2", G90/10/871.902, ""))))))</f>
        <v>1.1563624100719422E-2</v>
      </c>
      <c r="J90" s="2"/>
      <c r="K90" s="82">
        <v>0.98699999999999999</v>
      </c>
      <c r="L90" s="86">
        <v>0.997</v>
      </c>
      <c r="M90" s="87">
        <f>IF(K90="","",K90*L90)</f>
        <v>0.984039</v>
      </c>
      <c r="N90" s="87">
        <f>IF(M90="","",M90*2.54*2.54)</f>
        <v>6.3486260123999996</v>
      </c>
      <c r="O90" s="85">
        <f>(SQRT(K90^2*$L$4^2+L90^2*$K$4^2))/M90</f>
        <v>1.4256728381622195E-3</v>
      </c>
      <c r="P90" s="2"/>
      <c r="Q90" s="88">
        <v>0.04</v>
      </c>
      <c r="U90" s="4"/>
      <c r="V90" s="2"/>
      <c r="W90" s="88">
        <v>1.7276</v>
      </c>
      <c r="X90" s="3">
        <v>1.7274</v>
      </c>
      <c r="Z90" s="3">
        <f>AVERAGE(W90:Y90)</f>
        <v>1.7275</v>
      </c>
      <c r="AA90" s="90">
        <f>STDEV(W90:Y90)</f>
        <v>1.4142135623729392E-4</v>
      </c>
      <c r="AB90" s="91">
        <f>1/SQRT(COUNT(W90:Y90))*$Y$4/Z90</f>
        <v>8.1864750354448338E-4</v>
      </c>
      <c r="AC90" s="2"/>
      <c r="AD90" s="82">
        <f>Z90/N90</f>
        <v>0.2721061213285968</v>
      </c>
      <c r="AE90" s="85">
        <f>SQRT((1/N90)^2*(AB90*Z90)^2 + (Z90/N90^2)^2*(O90*N90)^2)/AD90</f>
        <v>1.6439971948069539E-3</v>
      </c>
      <c r="AG90" s="82">
        <f>AD90/(G90/10)</f>
        <v>2.6451455363915315</v>
      </c>
      <c r="AH90" s="86"/>
      <c r="AI90" s="4"/>
    </row>
    <row r="91" spans="1:35" s="28" customFormat="1">
      <c r="A91" s="36"/>
      <c r="D91" s="37"/>
      <c r="E91" s="2"/>
      <c r="F91" s="38">
        <v>4.0500000000000001E-2</v>
      </c>
      <c r="G91" s="49">
        <f t="shared" si="20"/>
        <v>1.0286999999999999</v>
      </c>
      <c r="H91" s="50">
        <f>$G$4/G91</f>
        <v>6.1728395061728392E-3</v>
      </c>
      <c r="I91" s="39" t="str">
        <f>IF(G91="","",IF(C91="Al", G91/10/8.896, IF(C91="Pure Al", G91/10/8.896, IF(C91="C", G91/10/21.349, IF(C91="Be", G91/10/35.276, IF(C91="LH2", G91/10/871.902, ""))))))</f>
        <v/>
      </c>
      <c r="J91" s="2"/>
      <c r="K91" s="57">
        <v>0.98629999999999995</v>
      </c>
      <c r="L91" s="58">
        <v>0.999</v>
      </c>
      <c r="M91" s="59">
        <f>IF(K91="","",AVERAGE(K91,K92)*AVERAGE(L91,L92))</f>
        <v>0.98716185000000001</v>
      </c>
      <c r="N91" s="59">
        <f>IF(M91="","",M91*2.54*2.54)</f>
        <v>6.3687733914599995</v>
      </c>
      <c r="O91" s="60">
        <f>(SQRT(K91^2*2*$F$4^2+L91^2*2*$F$4^2))/M91</f>
        <v>5.0279004923287475E-4</v>
      </c>
      <c r="P91" s="2"/>
      <c r="Q91" s="40"/>
      <c r="U91" s="29"/>
      <c r="V91" s="2"/>
      <c r="W91" s="40"/>
      <c r="AA91" s="54"/>
      <c r="AB91" s="55"/>
      <c r="AC91" s="2"/>
      <c r="AD91" s="38">
        <f>Z90/N91</f>
        <v>0.27124532367825099</v>
      </c>
      <c r="AE91" s="39"/>
      <c r="AG91" s="38">
        <f>AD91/(G91/10)</f>
        <v>2.6367777163240111</v>
      </c>
      <c r="AH91" s="51"/>
      <c r="AI91" s="29"/>
    </row>
    <row r="92" spans="1:35" s="62" customFormat="1" ht="16.5" thickBot="1">
      <c r="A92" s="61"/>
      <c r="D92" s="63"/>
      <c r="E92" s="2"/>
      <c r="F92" s="64"/>
      <c r="G92" s="65"/>
      <c r="H92" s="66"/>
      <c r="I92" s="67"/>
      <c r="J92" s="2"/>
      <c r="K92" s="68">
        <v>0.99</v>
      </c>
      <c r="L92" s="69">
        <v>0.999</v>
      </c>
      <c r="M92" s="70"/>
      <c r="N92" s="70"/>
      <c r="O92" s="71"/>
      <c r="P92" s="2"/>
      <c r="Q92" s="72"/>
      <c r="U92" s="97"/>
      <c r="V92" s="2"/>
      <c r="W92" s="72"/>
      <c r="AA92" s="75"/>
      <c r="AB92" s="76"/>
      <c r="AC92" s="2"/>
      <c r="AD92" s="64"/>
      <c r="AE92" s="67"/>
      <c r="AG92" s="64"/>
      <c r="AH92" s="77"/>
      <c r="AI92" s="97"/>
    </row>
    <row r="93" spans="1:35">
      <c r="A93" s="36" t="s">
        <v>84</v>
      </c>
      <c r="B93" s="28" t="s">
        <v>76</v>
      </c>
      <c r="C93" s="28" t="s">
        <v>81</v>
      </c>
      <c r="D93" s="37"/>
      <c r="E93" s="2"/>
      <c r="F93" s="38">
        <v>4.0500000000000001E-2</v>
      </c>
      <c r="G93" s="49">
        <f t="shared" si="20"/>
        <v>1.0286999999999999</v>
      </c>
      <c r="H93" s="50">
        <f>$G$4/G93</f>
        <v>6.1728395061728392E-3</v>
      </c>
      <c r="I93" s="39">
        <f>IF(G93="","",IF(C93="Al", G93/10/8.896, IF(C93="Pure Al", G93/10/8.896, IF(C93="C", G93/10/21.349, IF(C93="Be", G93/10/35.276, IF(C93="LH2", G93/10/871.902, ""))))))</f>
        <v>1.1563624100719422E-2</v>
      </c>
      <c r="J93" s="2"/>
      <c r="K93" s="38">
        <v>0.99299999999999999</v>
      </c>
      <c r="L93" s="51">
        <v>0.996</v>
      </c>
      <c r="M93" s="52">
        <f>IF(K93="","",K93*L93)</f>
        <v>0.98902800000000002</v>
      </c>
      <c r="N93" s="52">
        <f>IF(M93="","",M93*2.54*2.54)</f>
        <v>6.3808130448000009</v>
      </c>
      <c r="O93" s="39">
        <f>(SQRT(K93^2*$L$4^2+L93^2*$K$4^2))/M93</f>
        <v>1.4220396061266525E-3</v>
      </c>
      <c r="P93" s="2"/>
      <c r="Q93" s="40">
        <v>3.9800000000000002E-2</v>
      </c>
      <c r="R93" s="28"/>
      <c r="S93" s="28"/>
      <c r="T93" s="28"/>
      <c r="U93" s="29"/>
      <c r="V93" s="2"/>
      <c r="W93" s="38">
        <v>1.732</v>
      </c>
      <c r="X93" s="28">
        <v>1.7317</v>
      </c>
      <c r="Y93" s="28">
        <v>1.7318</v>
      </c>
      <c r="Z93" s="28">
        <f>AVERAGE(W93:Y93)</f>
        <v>1.7318333333333333</v>
      </c>
      <c r="AA93" s="54">
        <f>STDEV(W93:Y93)</f>
        <v>1.5275252316517785E-4</v>
      </c>
      <c r="AB93" s="55">
        <f>1/SQRT(COUNT(W93:Y93))*$Y$4/Z93</f>
        <v>6.6675038305028498E-4</v>
      </c>
      <c r="AC93" s="2"/>
      <c r="AD93" s="38">
        <f>Z93/N93</f>
        <v>0.27141264305568064</v>
      </c>
      <c r="AE93" s="39">
        <f>SQRT((1/N93)^2*(AB93*Z93)^2 + (Z93/N93^2)^2*(O93*N93)^2)/AD93</f>
        <v>1.5705899256937017E-3</v>
      </c>
      <c r="AG93" s="38">
        <f>AD93/(G93/10)</f>
        <v>2.638404229179359</v>
      </c>
      <c r="AH93" s="51"/>
      <c r="AI93" s="29"/>
    </row>
    <row r="94" spans="1:35">
      <c r="A94" s="36"/>
      <c r="B94" s="28"/>
      <c r="C94" s="28"/>
      <c r="D94" s="37"/>
      <c r="E94" s="2"/>
      <c r="F94" s="38">
        <v>4.0500000000000001E-2</v>
      </c>
      <c r="G94" s="49">
        <f t="shared" si="20"/>
        <v>1.0286999999999999</v>
      </c>
      <c r="H94" s="50">
        <f>$G$4/G94</f>
        <v>6.1728395061728392E-3</v>
      </c>
      <c r="I94" s="39" t="str">
        <f>IF(G94="","",IF(C94="Al", G94/10/8.896, IF(C94="Pure Al", G94/10/8.896, IF(C94="C", G94/10/21.349, IF(C94="Be", G94/10/35.276, IF(C94="LH2", G94/10/871.902, ""))))))</f>
        <v/>
      </c>
      <c r="J94" s="2"/>
      <c r="K94" s="57">
        <v>0.995</v>
      </c>
      <c r="L94" s="58">
        <v>0.99299999999999999</v>
      </c>
      <c r="M94" s="59">
        <f>IF(K94="","",AVERAGE(K94,K95)*AVERAGE(L94,L95))</f>
        <v>0.9897761249999999</v>
      </c>
      <c r="N94" s="59">
        <f>IF(M94="","",M94*2.54*2.54)</f>
        <v>6.3856396480499997</v>
      </c>
      <c r="O94" s="60">
        <f>(SQRT(K94^2*2*$F$4^2+L94^2*2*$F$4^2))/M94</f>
        <v>5.0213400682804984E-4</v>
      </c>
      <c r="P94" s="2"/>
      <c r="Q94" s="40"/>
      <c r="R94" s="28"/>
      <c r="S94" s="28"/>
      <c r="T94" s="28"/>
      <c r="U94" s="29"/>
      <c r="V94" s="2"/>
      <c r="W94" s="38"/>
      <c r="X94" s="28"/>
      <c r="Y94" s="28"/>
      <c r="Z94" s="28"/>
      <c r="AA94" s="54"/>
      <c r="AB94" s="55"/>
      <c r="AC94" s="2"/>
      <c r="AD94" s="38">
        <f>Z93/N94</f>
        <v>0.27120749506467812</v>
      </c>
      <c r="AE94" s="39"/>
      <c r="AG94" s="38">
        <f>AD94/(G94/10)</f>
        <v>2.6364099841030249</v>
      </c>
      <c r="AH94" s="51"/>
      <c r="AI94" s="29"/>
    </row>
    <row r="95" spans="1:35" ht="16.5" thickBot="1">
      <c r="A95" s="36"/>
      <c r="B95" s="28"/>
      <c r="C95" s="28"/>
      <c r="D95" s="37"/>
      <c r="E95" s="2"/>
      <c r="F95" s="38"/>
      <c r="G95" s="49"/>
      <c r="H95" s="50"/>
      <c r="I95" s="39"/>
      <c r="J95" s="2"/>
      <c r="K95" s="57">
        <v>0.99550000000000005</v>
      </c>
      <c r="L95" s="58">
        <v>0.996</v>
      </c>
      <c r="M95" s="59"/>
      <c r="N95" s="59"/>
      <c r="O95" s="60"/>
      <c r="P95" s="2"/>
      <c r="Q95" s="40"/>
      <c r="R95" s="28"/>
      <c r="S95" s="28"/>
      <c r="T95" s="28"/>
      <c r="U95" s="29"/>
      <c r="V95" s="2"/>
      <c r="W95" s="38"/>
      <c r="X95" s="28"/>
      <c r="Y95" s="28"/>
      <c r="Z95" s="28"/>
      <c r="AA95" s="54"/>
      <c r="AB95" s="55"/>
      <c r="AC95" s="2"/>
      <c r="AD95" s="38"/>
      <c r="AE95" s="39"/>
      <c r="AG95" s="38"/>
      <c r="AH95" s="51"/>
      <c r="AI95" s="29"/>
    </row>
    <row r="96" spans="1:35" s="3" customFormat="1">
      <c r="A96" s="80" t="s">
        <v>85</v>
      </c>
      <c r="B96" s="3" t="s">
        <v>76</v>
      </c>
      <c r="C96" s="3" t="s">
        <v>81</v>
      </c>
      <c r="D96" s="81"/>
      <c r="E96" s="2"/>
      <c r="F96" s="82">
        <v>4.0500000000000001E-2</v>
      </c>
      <c r="G96" s="83">
        <f t="shared" si="20"/>
        <v>1.0286999999999999</v>
      </c>
      <c r="H96" s="84">
        <f>$G$4/G96</f>
        <v>6.1728395061728392E-3</v>
      </c>
      <c r="I96" s="85">
        <f>IF(G96="","",IF(C96="Al", G96/10/8.896, IF(C96="Pure Al", G96/10/8.896, IF(C96="C", G96/10/21.349, IF(C96="Be", G96/10/35.276, IF(C96="LH2", G96/10/871.902, ""))))))</f>
        <v>1.1563624100719422E-2</v>
      </c>
      <c r="J96" s="2"/>
      <c r="K96" s="82">
        <v>0.99199999999999999</v>
      </c>
      <c r="L96" s="86">
        <v>0.99299999999999999</v>
      </c>
      <c r="M96" s="87">
        <f>IF(K96="","",K96*L96)</f>
        <v>0.98505599999999993</v>
      </c>
      <c r="N96" s="87">
        <f>IF(M96="","",M96*2.54*2.54)</f>
        <v>6.3551872895999999</v>
      </c>
      <c r="O96" s="85">
        <f>(SQRT(K96^2*$L$4^2+L96^2*$K$4^2))/M96</f>
        <v>1.4249008571774852E-3</v>
      </c>
      <c r="P96" s="2"/>
      <c r="Q96" s="88">
        <v>3.95E-2</v>
      </c>
      <c r="U96" s="4"/>
      <c r="V96" s="2"/>
      <c r="W96" s="88">
        <v>1.7289000000000001</v>
      </c>
      <c r="X96" s="86">
        <v>1.7290000000000001</v>
      </c>
      <c r="Z96" s="3">
        <f>AVERAGE(W96:Y96)</f>
        <v>1.7289500000000002</v>
      </c>
      <c r="AA96" s="90">
        <f>STDEV(W96:Y96)</f>
        <v>7.0710678118646961E-5</v>
      </c>
      <c r="AB96" s="91">
        <f>1/SQRT(COUNT(W96:Y96))*$Y$4/Z96</f>
        <v>8.1796093720066794E-4</v>
      </c>
      <c r="AC96" s="2"/>
      <c r="AD96" s="82">
        <f>Z96/N96</f>
        <v>0.2720533512567529</v>
      </c>
      <c r="AE96" s="85">
        <f>SQRT((1/N96)^2*(AB96*Z96)^2 + (Z96/N96^2)^2*(O96*N96)^2)/AD96</f>
        <v>1.642985863472759E-3</v>
      </c>
      <c r="AG96" s="82">
        <f>AD96/(G96/10)</f>
        <v>2.6446325581486625</v>
      </c>
      <c r="AH96" s="86"/>
      <c r="AI96" s="4"/>
    </row>
    <row r="97" spans="1:35" s="28" customFormat="1">
      <c r="A97" s="36"/>
      <c r="D97" s="37"/>
      <c r="E97" s="2"/>
      <c r="F97" s="38">
        <v>4.0500000000000001E-2</v>
      </c>
      <c r="G97" s="49">
        <f t="shared" si="20"/>
        <v>1.0286999999999999</v>
      </c>
      <c r="H97" s="50">
        <f>$G$4/G97</f>
        <v>6.1728395061728392E-3</v>
      </c>
      <c r="I97" s="39" t="str">
        <f>IF(G97="","",IF(C97="Al", G97/10/8.896, IF(C97="Pure Al", G97/10/8.896, IF(C97="C", G97/10/21.349, IF(C97="Be", G97/10/35.276, IF(C97="LH2", G97/10/871.902, ""))))))</f>
        <v/>
      </c>
      <c r="J97" s="2"/>
      <c r="K97" s="57">
        <v>0.99750000000000005</v>
      </c>
      <c r="L97" s="58">
        <v>0.99350000000000005</v>
      </c>
      <c r="M97" s="59">
        <f>IF(K97="","",AVERAGE(K97,K98)*AVERAGE(L97,L98))</f>
        <v>0.98927762500000005</v>
      </c>
      <c r="N97" s="59">
        <f>IF(M97="","",M97*2.54*2.54)</f>
        <v>6.3824235254500001</v>
      </c>
      <c r="O97" s="60">
        <f>(SQRT(K97^2*2*$F$4^2+L97^2*2*$F$4^2))/M97</f>
        <v>5.0314592379396817E-4</v>
      </c>
      <c r="P97" s="2"/>
      <c r="Q97" s="40"/>
      <c r="U97" s="29"/>
      <c r="V97" s="2"/>
      <c r="W97" s="40"/>
      <c r="AB97" s="29"/>
      <c r="AC97" s="2"/>
      <c r="AD97" s="38">
        <f>Z96/N97</f>
        <v>0.27089239582829133</v>
      </c>
      <c r="AE97" s="39"/>
      <c r="AG97" s="38">
        <f>AD97/(G97/10)</f>
        <v>2.6333469021900591</v>
      </c>
      <c r="AH97" s="51"/>
      <c r="AI97" s="29"/>
    </row>
    <row r="98" spans="1:35" s="62" customFormat="1" ht="16.5" thickBot="1">
      <c r="A98" s="61"/>
      <c r="D98" s="63"/>
      <c r="E98" s="2"/>
      <c r="F98" s="64"/>
      <c r="G98" s="65"/>
      <c r="H98" s="65"/>
      <c r="I98" s="67"/>
      <c r="J98" s="2"/>
      <c r="K98" s="68">
        <v>0.99399999999999999</v>
      </c>
      <c r="L98" s="69">
        <v>0.99350000000000005</v>
      </c>
      <c r="M98" s="70"/>
      <c r="N98" s="70"/>
      <c r="O98" s="124"/>
      <c r="P98" s="2"/>
      <c r="Q98" s="72"/>
      <c r="U98" s="97"/>
      <c r="V98" s="2"/>
      <c r="W98" s="72"/>
      <c r="AB98" s="97"/>
      <c r="AC98" s="2"/>
      <c r="AD98" s="72"/>
      <c r="AE98" s="97"/>
      <c r="AG98" s="64"/>
      <c r="AH98" s="77"/>
      <c r="AI98" s="97"/>
    </row>
    <row r="99" spans="1:35" ht="16.5" thickBot="1">
      <c r="A99" s="36"/>
      <c r="B99" s="28"/>
      <c r="C99" s="28"/>
      <c r="D99" s="37"/>
      <c r="E99" s="2"/>
      <c r="F99" s="38"/>
      <c r="G99" s="49"/>
      <c r="H99" s="49"/>
      <c r="I99" s="39"/>
      <c r="J99" s="2"/>
      <c r="K99" s="38"/>
      <c r="L99" s="51"/>
      <c r="M99" s="52"/>
      <c r="N99" s="52"/>
      <c r="O99" s="98"/>
      <c r="P99" s="2"/>
      <c r="Q99" s="40"/>
      <c r="R99" s="28"/>
      <c r="S99" s="28"/>
      <c r="T99" s="28"/>
      <c r="U99" s="29"/>
      <c r="V99" s="2"/>
      <c r="W99" s="40"/>
      <c r="X99" s="28"/>
      <c r="Y99" s="28"/>
      <c r="Z99" s="28"/>
      <c r="AA99" s="28"/>
      <c r="AB99" s="29"/>
      <c r="AC99" s="2"/>
      <c r="AD99" s="40"/>
      <c r="AE99" s="29"/>
      <c r="AG99" s="38"/>
      <c r="AH99" s="51"/>
      <c r="AI99" s="29"/>
    </row>
    <row r="100" spans="1:35" s="3" customFormat="1">
      <c r="A100" s="80" t="s">
        <v>86</v>
      </c>
      <c r="B100" s="3" t="s">
        <v>76</v>
      </c>
      <c r="C100" s="3" t="s">
        <v>55</v>
      </c>
      <c r="D100" s="81"/>
      <c r="E100" s="2"/>
      <c r="F100" s="94">
        <f>0.05+0.0107</f>
        <v>6.0700000000000004E-2</v>
      </c>
      <c r="G100" s="83">
        <f t="shared" si="20"/>
        <v>1.5417799999999999</v>
      </c>
      <c r="H100" s="84">
        <f>$G$4/G100</f>
        <v>4.1186161449752881E-3</v>
      </c>
      <c r="I100" s="85" t="str">
        <f>IF(G100="","",IF(C100="Al", G100/10/8.896, IF(C100="Pure Al", G100/10/8.896, IF(C100="C", G100/10/21.349, IF(C100="Be", G100/10/35.276, IF(C100="LH2", G100/10/871.902, ""))))))</f>
        <v/>
      </c>
      <c r="J100" s="2"/>
      <c r="K100" s="82">
        <v>1.008</v>
      </c>
      <c r="L100" s="86">
        <v>1.008</v>
      </c>
      <c r="M100" s="87">
        <f>IF(K100="","",K100*L100)</f>
        <v>1.0160640000000001</v>
      </c>
      <c r="N100" s="87">
        <f>IF(M100="","",M100*2.54*2.54)</f>
        <v>6.5552385024000008</v>
      </c>
      <c r="O100" s="85">
        <f>(SQRT(K100^2*$L$4^2+L100^2*$K$4^2))/M100</f>
        <v>1.4029896452114037E-3</v>
      </c>
      <c r="P100" s="2"/>
      <c r="Q100" s="88"/>
      <c r="U100" s="4"/>
      <c r="V100" s="2"/>
      <c r="W100" s="88">
        <v>2.8573</v>
      </c>
      <c r="X100" s="3">
        <v>2.8573</v>
      </c>
      <c r="Z100" s="3">
        <f>AVERAGE(W100:Y100)</f>
        <v>2.8573</v>
      </c>
      <c r="AA100" s="90">
        <f>STDEV(W100:Y100)</f>
        <v>0</v>
      </c>
      <c r="AB100" s="91">
        <f>1/SQRT(COUNT(W100:Y100))*$Y$4/Z100</f>
        <v>4.9494752471672388E-4</v>
      </c>
      <c r="AC100" s="2"/>
      <c r="AD100" s="88"/>
      <c r="AE100" s="4"/>
      <c r="AG100" s="82"/>
      <c r="AH100" s="86"/>
      <c r="AI100" s="4"/>
    </row>
    <row r="101" spans="1:35" s="28" customFormat="1">
      <c r="A101" s="36"/>
      <c r="D101" s="95"/>
      <c r="E101" s="2"/>
      <c r="F101" s="38">
        <v>6.0600000000000001E-2</v>
      </c>
      <c r="G101" s="49">
        <f t="shared" si="20"/>
        <v>1.5392399999999999</v>
      </c>
      <c r="H101" s="50">
        <f>$G$4/G101</f>
        <v>4.125412541254125E-3</v>
      </c>
      <c r="I101" s="39" t="str">
        <f>IF(G101="","",IF(C101="Al", G101/10/8.896, IF(C101="Pure Al", G101/10/8.896, IF(C101="C", G101/10/21.349, IF(C101="Be", G101/10/35.276, IF(C101="LH2", G101/10/871.902, ""))))))</f>
        <v/>
      </c>
      <c r="J101" s="2"/>
      <c r="K101" s="57">
        <v>1.0069999999999999</v>
      </c>
      <c r="L101" s="58">
        <v>1.0077</v>
      </c>
      <c r="M101" s="59">
        <f>IF(K101="","",AVERAGE(K101,K102)*AVERAGE(L101,L102))</f>
        <v>1.0150561600000001</v>
      </c>
      <c r="N101" s="59">
        <f>IF(M101="","",M101*2.54*2.54)</f>
        <v>6.5487363218560004</v>
      </c>
      <c r="O101" s="60">
        <f>(SQRT(K101^2*2*$F$4^2+L101^2*2*$F$4^2))/M101</f>
        <v>4.9620410204844986E-4</v>
      </c>
      <c r="P101" s="2"/>
      <c r="Q101" s="40"/>
      <c r="U101" s="29"/>
      <c r="V101" s="2"/>
      <c r="AB101" s="29"/>
      <c r="AC101" s="2"/>
      <c r="AD101" s="40"/>
      <c r="AE101" s="29"/>
      <c r="AG101" s="38"/>
      <c r="AH101" s="51"/>
      <c r="AI101" s="29"/>
    </row>
    <row r="102" spans="1:35" s="62" customFormat="1" ht="16.5" thickBot="1">
      <c r="A102" s="61"/>
      <c r="D102" s="96"/>
      <c r="E102" s="2"/>
      <c r="F102" s="64"/>
      <c r="G102" s="65"/>
      <c r="H102" s="66"/>
      <c r="I102" s="67"/>
      <c r="J102" s="2"/>
      <c r="K102" s="68">
        <v>1.0085999999999999</v>
      </c>
      <c r="L102" s="69">
        <v>1.0066999999999999</v>
      </c>
      <c r="M102" s="70"/>
      <c r="N102" s="70"/>
      <c r="O102" s="71"/>
      <c r="P102" s="2"/>
      <c r="Q102" s="72"/>
      <c r="U102" s="97"/>
      <c r="V102" s="2"/>
      <c r="W102" s="72"/>
      <c r="AB102" s="97"/>
      <c r="AC102" s="2"/>
      <c r="AD102" s="72"/>
      <c r="AE102" s="97"/>
      <c r="AG102" s="64"/>
      <c r="AH102" s="77"/>
      <c r="AI102" s="97"/>
    </row>
    <row r="103" spans="1:35">
      <c r="A103" s="36" t="s">
        <v>87</v>
      </c>
      <c r="B103" s="28" t="s">
        <v>76</v>
      </c>
      <c r="C103" s="28" t="s">
        <v>55</v>
      </c>
      <c r="D103" s="37"/>
      <c r="E103" s="2"/>
      <c r="F103" s="103">
        <f>0.05+0.0106</f>
        <v>6.0600000000000001E-2</v>
      </c>
      <c r="G103" s="49">
        <f t="shared" si="20"/>
        <v>1.5392399999999999</v>
      </c>
      <c r="H103" s="50">
        <f>$G$4/G103</f>
        <v>4.125412541254125E-3</v>
      </c>
      <c r="I103" s="39" t="str">
        <f>IF(G103="","",IF(C103="Al", G103/10/8.896, IF(C103="Pure Al", G103/10/8.896, IF(C103="C", G103/10/21.349, IF(C103="Be", G103/10/35.276, IF(C103="LH2", G103/10/871.902, ""))))))</f>
        <v/>
      </c>
      <c r="J103" s="2"/>
      <c r="K103" s="38">
        <v>1.006</v>
      </c>
      <c r="L103" s="51">
        <v>1.006</v>
      </c>
      <c r="M103" s="52">
        <f>IF(K103="","",K103*L103)</f>
        <v>1.0120359999999999</v>
      </c>
      <c r="N103" s="52">
        <f>IF(M103="","",M103*2.54*2.54)</f>
        <v>6.5292514575999991</v>
      </c>
      <c r="O103" s="39">
        <f>(SQRT(K103^2*$L$4^2+L103^2*$K$4^2))/M103</f>
        <v>1.4057788890388619E-3</v>
      </c>
      <c r="P103" s="2"/>
      <c r="Q103" s="40"/>
      <c r="R103" s="28"/>
      <c r="S103" s="28"/>
      <c r="T103" s="28"/>
      <c r="U103" s="29"/>
      <c r="V103" s="2"/>
      <c r="W103" s="40">
        <v>2.8559999999999999</v>
      </c>
      <c r="X103" s="28">
        <v>2.8557999999999999</v>
      </c>
      <c r="Y103" s="28"/>
      <c r="Z103" s="3">
        <f>AVERAGE(W103:Y103)</f>
        <v>2.8559000000000001</v>
      </c>
      <c r="AA103" s="90">
        <f>STDEV(W103:Y103)</f>
        <v>1.4142135623729392E-4</v>
      </c>
      <c r="AB103" s="91">
        <f>1/SQRT(COUNT(W103:Y103))*$Y$4/Z103</f>
        <v>4.9519015454781157E-4</v>
      </c>
      <c r="AC103" s="2"/>
      <c r="AD103" s="40"/>
      <c r="AE103" s="29"/>
      <c r="AG103" s="38"/>
      <c r="AH103" s="51"/>
      <c r="AI103" s="29"/>
    </row>
    <row r="104" spans="1:35">
      <c r="A104" s="36"/>
      <c r="B104" s="28"/>
      <c r="C104" s="28"/>
      <c r="D104" s="37"/>
      <c r="E104" s="2"/>
      <c r="F104" s="38">
        <v>6.0600000000000001E-2</v>
      </c>
      <c r="G104" s="49">
        <f t="shared" si="20"/>
        <v>1.5392399999999999</v>
      </c>
      <c r="H104" s="50">
        <f>$G$4/G104</f>
        <v>4.125412541254125E-3</v>
      </c>
      <c r="I104" s="39" t="str">
        <f>IF(G104="","",IF(C104="Al", G104/10/8.896, IF(C104="Pure Al", G104/10/8.896, IF(C104="C", G104/10/21.349, IF(C104="Be", G104/10/35.276, IF(C104="LH2", G104/10/871.902, ""))))))</f>
        <v/>
      </c>
      <c r="J104" s="2"/>
      <c r="K104" s="57">
        <v>1.0065999999999999</v>
      </c>
      <c r="L104" s="58">
        <v>1.0071000000000001</v>
      </c>
      <c r="M104" s="59">
        <f>IF(K104="","",AVERAGE(K104,K105)*AVERAGE(L104,L105))</f>
        <v>1.0132938849999999</v>
      </c>
      <c r="N104" s="59">
        <f>IF(M104="","",M104*2.54*2.54)</f>
        <v>6.5373668284660003</v>
      </c>
      <c r="O104" s="60">
        <f>(SQRT(K104^2*2*$F$4^2+L104^2*2*$F$4^2))/M104</f>
        <v>4.9682034301302112E-4</v>
      </c>
      <c r="P104" s="2"/>
      <c r="Q104" s="40"/>
      <c r="R104" s="28"/>
      <c r="S104" s="28"/>
      <c r="T104" s="28"/>
      <c r="U104" s="29"/>
      <c r="V104" s="2"/>
      <c r="W104" s="40"/>
      <c r="X104" s="28"/>
      <c r="Y104" s="28"/>
      <c r="Z104" s="28"/>
      <c r="AA104" s="28"/>
      <c r="AB104" s="29"/>
      <c r="AC104" s="2"/>
      <c r="AD104" s="40"/>
      <c r="AE104" s="29"/>
      <c r="AG104" s="38"/>
      <c r="AH104" s="51"/>
      <c r="AI104" s="29"/>
    </row>
    <row r="105" spans="1:35">
      <c r="A105" s="36"/>
      <c r="B105" s="28"/>
      <c r="C105" s="28"/>
      <c r="D105" s="37"/>
      <c r="E105" s="2"/>
      <c r="F105" s="38"/>
      <c r="G105" s="49"/>
      <c r="H105" s="50"/>
      <c r="I105" s="39"/>
      <c r="J105" s="2"/>
      <c r="K105" s="57">
        <v>1.0067999999999999</v>
      </c>
      <c r="L105" s="58">
        <v>1.006</v>
      </c>
      <c r="M105" s="59"/>
      <c r="N105" s="59"/>
      <c r="O105" s="60"/>
      <c r="P105" s="2"/>
      <c r="Q105" s="40"/>
      <c r="R105" s="28"/>
      <c r="S105" s="28"/>
      <c r="T105" s="28"/>
      <c r="U105" s="29"/>
      <c r="V105" s="2"/>
      <c r="W105" s="40"/>
      <c r="X105" s="28"/>
      <c r="Y105" s="28"/>
      <c r="Z105" s="28"/>
      <c r="AA105" s="28"/>
      <c r="AB105" s="29"/>
      <c r="AC105" s="2"/>
      <c r="AD105" s="40"/>
      <c r="AE105" s="29"/>
      <c r="AG105" s="38"/>
      <c r="AH105" s="51"/>
      <c r="AI105" s="29"/>
    </row>
    <row r="106" spans="1:35" ht="16.5" thickBot="1">
      <c r="A106" s="36"/>
      <c r="B106" s="28"/>
      <c r="C106" s="28"/>
      <c r="D106" s="37"/>
      <c r="E106" s="2"/>
      <c r="F106" s="38"/>
      <c r="G106" s="28"/>
      <c r="H106" s="28"/>
      <c r="I106" s="29"/>
      <c r="J106" s="2"/>
      <c r="K106" s="38"/>
      <c r="L106" s="51"/>
      <c r="M106" s="28"/>
      <c r="N106" s="28"/>
      <c r="O106" s="29"/>
      <c r="P106" s="2"/>
      <c r="Q106" s="40"/>
      <c r="R106" s="28"/>
      <c r="S106" s="28"/>
      <c r="T106" s="28"/>
      <c r="U106" s="29"/>
      <c r="V106" s="2"/>
      <c r="W106" s="40"/>
      <c r="X106" s="28"/>
      <c r="Y106" s="28"/>
      <c r="Z106" s="28"/>
      <c r="AA106" s="28"/>
      <c r="AB106" s="29"/>
      <c r="AC106" s="2"/>
      <c r="AD106" s="40"/>
      <c r="AE106" s="29"/>
      <c r="AG106" s="38"/>
      <c r="AH106" s="51"/>
      <c r="AI106" s="29"/>
    </row>
    <row r="107" spans="1:35" s="3" customFormat="1">
      <c r="A107" s="80" t="s">
        <v>88</v>
      </c>
      <c r="C107" s="3" t="s">
        <v>40</v>
      </c>
      <c r="D107" s="81"/>
      <c r="E107" s="2"/>
      <c r="F107" s="94">
        <f>0.05+0.021</f>
        <v>7.1000000000000008E-2</v>
      </c>
      <c r="G107" s="83">
        <f t="shared" ref="G107:G123" si="21">IF(F107="","",F107*25.4)</f>
        <v>1.8034000000000001</v>
      </c>
      <c r="H107" s="84">
        <f>$G$4/G107</f>
        <v>3.5211267605633799E-3</v>
      </c>
      <c r="I107" s="85">
        <f t="shared" ref="I107:I123" si="22">IF(G107="","",IF(C107="Al", G107/10/8.896, IF(C107="Pure Al", G107/10/8.896, IF(C107="C", G107/10/21.349, IF(C107="Be", G107/10/35.276, IF(C107="LH2", G107/10/871.902, ""))))))</f>
        <v>2.0272032374100718E-2</v>
      </c>
      <c r="J107" s="2"/>
      <c r="K107" s="82">
        <v>0.98399999999999999</v>
      </c>
      <c r="L107" s="86">
        <v>0.98399999999999999</v>
      </c>
      <c r="M107" s="87">
        <f>IF(K107="","",K107*L107)</f>
        <v>0.96825600000000001</v>
      </c>
      <c r="N107" s="87">
        <f>IF(M107="","",M107*2.54*2.54)</f>
        <v>6.2468004096000005</v>
      </c>
      <c r="O107" s="85">
        <f>(SQRT(K107^2*$L$4^2+L107^2*$K$4^2))/M107</f>
        <v>1.4372089048507064E-3</v>
      </c>
      <c r="P107" s="2"/>
      <c r="Q107" s="82">
        <v>7.0800000000000002E-2</v>
      </c>
      <c r="R107" s="86">
        <v>7.0599999999999996E-2</v>
      </c>
      <c r="S107" s="87">
        <f>AVERAGE(Q107:R107)</f>
        <v>7.0699999999999999E-2</v>
      </c>
      <c r="T107" s="89">
        <f>STDEV(Q107:R107)</f>
        <v>1.4142135623731355E-4</v>
      </c>
      <c r="U107" s="85">
        <f>1/SQRT(COUNT(Q107:R107))*$Q$4/S107</f>
        <v>2.0003020684202194E-3</v>
      </c>
      <c r="V107" s="2"/>
      <c r="W107" s="82">
        <v>3.1360000000000001</v>
      </c>
      <c r="X107" s="86">
        <v>3.1360999999999999</v>
      </c>
      <c r="Y107" s="86">
        <v>3.1358999999999999</v>
      </c>
      <c r="Z107" s="3">
        <f>AVERAGE(W107:Y107)</f>
        <v>3.1359999999999997</v>
      </c>
      <c r="AA107" s="90">
        <f>STDEV(W107:Y107)</f>
        <v>9.9999999999988987E-5</v>
      </c>
      <c r="AB107" s="91">
        <f>SQRT(COUNT(W107:Y107))*$Y$4/Z107</f>
        <v>1.1046242395209677E-3</v>
      </c>
      <c r="AC107" s="2"/>
      <c r="AD107" s="82">
        <f>Z107/N107</f>
        <v>0.50201699980371328</v>
      </c>
      <c r="AE107" s="85">
        <f>SQRT((1/N107)^2*(AB107*Z107)^2 + (Z107/N107^2)^2*(O107*N107)^2)/AD107</f>
        <v>1.8126676878897144E-3</v>
      </c>
      <c r="AG107" s="82">
        <f>AD107/(G107/10)</f>
        <v>2.783725184671805</v>
      </c>
      <c r="AH107" s="86">
        <f>AD107/(S107*2.54)</f>
        <v>2.7955373141682909</v>
      </c>
      <c r="AI107" s="92">
        <f>AG107/AH107</f>
        <v>0.99577464788732384</v>
      </c>
    </row>
    <row r="108" spans="1:35" s="28" customFormat="1">
      <c r="A108" s="36"/>
      <c r="D108" s="37"/>
      <c r="E108" s="2"/>
      <c r="F108" s="38">
        <v>7.0999999999999994E-2</v>
      </c>
      <c r="G108" s="49">
        <f t="shared" si="21"/>
        <v>1.8033999999999997</v>
      </c>
      <c r="H108" s="50">
        <f>$G$4/G108</f>
        <v>3.5211267605633808E-3</v>
      </c>
      <c r="I108" s="39" t="str">
        <f t="shared" si="22"/>
        <v/>
      </c>
      <c r="J108" s="2"/>
      <c r="K108" s="57">
        <v>0.98450000000000004</v>
      </c>
      <c r="L108" s="58">
        <v>0.98470000000000002</v>
      </c>
      <c r="M108" s="59">
        <f>IF(K108="","",AVERAGE(K108,K109)*AVERAGE(L108,L109))</f>
        <v>0.96938789999999997</v>
      </c>
      <c r="N108" s="59">
        <f>IF(M108="","",M108*2.54*2.54)</f>
        <v>6.2541029756400004</v>
      </c>
      <c r="O108" s="60">
        <f>(SQRT(K108^2*2*$F$4^2+L108^2*2*$F$4^2))/M108</f>
        <v>5.0784624249910917E-4</v>
      </c>
      <c r="P108" s="2"/>
      <c r="Q108" s="38"/>
      <c r="R108" s="51"/>
      <c r="S108" s="52"/>
      <c r="T108" s="53"/>
      <c r="U108" s="39"/>
      <c r="V108" s="2"/>
      <c r="W108" s="38">
        <v>3.1362999999999999</v>
      </c>
      <c r="X108" s="51">
        <v>3.1360000000000001</v>
      </c>
      <c r="Y108" s="51"/>
      <c r="AA108" s="54"/>
      <c r="AB108" s="55"/>
      <c r="AC108" s="2"/>
      <c r="AD108" s="38">
        <f>Z107/N108</f>
        <v>0.50143082264792482</v>
      </c>
      <c r="AE108" s="39"/>
      <c r="AG108" s="38">
        <f>AD108/(G108/10)</f>
        <v>2.7804747845620765</v>
      </c>
      <c r="AH108" s="51">
        <f>AD108/(S107*2.54)</f>
        <v>2.7922731216960033</v>
      </c>
      <c r="AI108" s="56">
        <f>AG108/AH108</f>
        <v>0.99577464788732395</v>
      </c>
    </row>
    <row r="109" spans="1:35" s="62" customFormat="1" ht="16.5" thickBot="1">
      <c r="A109" s="61"/>
      <c r="D109" s="63"/>
      <c r="E109" s="2"/>
      <c r="F109" s="64"/>
      <c r="G109" s="65"/>
      <c r="H109" s="66"/>
      <c r="I109" s="67"/>
      <c r="J109" s="2"/>
      <c r="K109" s="68">
        <v>0.98429999999999995</v>
      </c>
      <c r="L109" s="69">
        <v>0.98480000000000001</v>
      </c>
      <c r="M109" s="70"/>
      <c r="N109" s="70"/>
      <c r="O109" s="71"/>
      <c r="P109" s="2"/>
      <c r="Q109" s="64"/>
      <c r="R109" s="77"/>
      <c r="S109" s="73"/>
      <c r="T109" s="74"/>
      <c r="U109" s="67"/>
      <c r="V109" s="2"/>
      <c r="W109" s="64"/>
      <c r="X109" s="77"/>
      <c r="Y109" s="77"/>
      <c r="AA109" s="75"/>
      <c r="AB109" s="76"/>
      <c r="AC109" s="2"/>
      <c r="AD109" s="64"/>
      <c r="AE109" s="67"/>
      <c r="AG109" s="64"/>
      <c r="AH109" s="77"/>
      <c r="AI109" s="78"/>
    </row>
    <row r="110" spans="1:35">
      <c r="A110" s="36" t="s">
        <v>89</v>
      </c>
      <c r="B110" s="28"/>
      <c r="C110" s="28" t="s">
        <v>40</v>
      </c>
      <c r="D110" s="37"/>
      <c r="E110" s="2"/>
      <c r="F110" s="103">
        <f>0.05+0.021</f>
        <v>7.1000000000000008E-2</v>
      </c>
      <c r="G110" s="49">
        <f t="shared" si="21"/>
        <v>1.8034000000000001</v>
      </c>
      <c r="H110" s="50">
        <f>$G$4/G110</f>
        <v>3.5211267605633799E-3</v>
      </c>
      <c r="I110" s="39">
        <f t="shared" si="22"/>
        <v>2.0272032374100718E-2</v>
      </c>
      <c r="J110" s="2"/>
      <c r="K110" s="38">
        <v>0.98399999999999999</v>
      </c>
      <c r="L110" s="51">
        <v>0.98399999999999999</v>
      </c>
      <c r="M110" s="52">
        <f>IF(K110="","",K110*L110)</f>
        <v>0.96825600000000001</v>
      </c>
      <c r="N110" s="52">
        <f>IF(M110="","",M110*2.54*2.54)</f>
        <v>6.2468004096000005</v>
      </c>
      <c r="O110" s="39">
        <f>(SQRT(K110^2*$L$4^2+L110^2*$K$4^2))/M110</f>
        <v>1.4372089048507064E-3</v>
      </c>
      <c r="P110" s="2"/>
      <c r="Q110" s="38">
        <v>7.0000000000000007E-2</v>
      </c>
      <c r="R110" s="51">
        <v>7.0699999999999999E-2</v>
      </c>
      <c r="S110" s="52">
        <f>AVERAGE(Q110:R110)</f>
        <v>7.0349999999999996E-2</v>
      </c>
      <c r="T110" s="53">
        <f>STDEV(Q110:R110)</f>
        <v>4.9497474683057776E-4</v>
      </c>
      <c r="U110" s="39">
        <f>1/SQRT(COUNT(Q110:R110))*$Q$4/S110</f>
        <v>2.0102538200043995E-3</v>
      </c>
      <c r="V110" s="2"/>
      <c r="W110" s="38">
        <v>3.1372</v>
      </c>
      <c r="X110" s="51">
        <v>3.1371000000000002</v>
      </c>
      <c r="Y110" s="51">
        <v>3.137</v>
      </c>
      <c r="Z110" s="28">
        <f>AVERAGE(W110:Y110)</f>
        <v>3.1371000000000002</v>
      </c>
      <c r="AA110" s="54">
        <f>STDEV(W110:Y110)</f>
        <v>9.9999999999988987E-5</v>
      </c>
      <c r="AB110" s="55">
        <f>SQRT(COUNT(W110:Y110))*$Y$4/Z110</f>
        <v>1.1042369115226655E-3</v>
      </c>
      <c r="AC110" s="2"/>
      <c r="AD110" s="38">
        <f>Z110/N110</f>
        <v>0.50219308995032819</v>
      </c>
      <c r="AE110" s="39">
        <f>SQRT((1/N110)^2*(AB110*Z110)^2 + (Z110/N110^2)^2*(O110*N110)^2)/AD110</f>
        <v>1.8124316795265095E-3</v>
      </c>
      <c r="AG110" s="38">
        <f>AD110/(G110/10)</f>
        <v>2.7847016188883673</v>
      </c>
      <c r="AH110" s="51">
        <f>AD110/(S110*2.54)</f>
        <v>2.8104309160067391</v>
      </c>
      <c r="AI110" s="56">
        <f>AG110/AH110</f>
        <v>0.99084507042253511</v>
      </c>
    </row>
    <row r="111" spans="1:35">
      <c r="A111" s="36"/>
      <c r="B111" s="28"/>
      <c r="C111" s="28"/>
      <c r="D111" s="37"/>
      <c r="E111" s="2"/>
      <c r="F111" s="38">
        <v>7.0999999999999994E-2</v>
      </c>
      <c r="G111" s="49">
        <f t="shared" si="21"/>
        <v>1.8033999999999997</v>
      </c>
      <c r="H111" s="50">
        <f>$G$4/G111</f>
        <v>3.5211267605633808E-3</v>
      </c>
      <c r="I111" s="39" t="str">
        <f t="shared" si="22"/>
        <v/>
      </c>
      <c r="J111" s="2"/>
      <c r="K111" s="57">
        <v>0.98470000000000002</v>
      </c>
      <c r="L111" s="58">
        <v>0.98440000000000005</v>
      </c>
      <c r="M111" s="59">
        <f>IF(K111="","",AVERAGE(K111,K112)*AVERAGE(L111,L112))</f>
        <v>0.96928944500000003</v>
      </c>
      <c r="N111" s="59">
        <f>IF(M111="","",M111*2.54*2.54)</f>
        <v>6.2534677833620007</v>
      </c>
      <c r="O111" s="60">
        <f>(SQRT(K111^2*2*$F$4^2+L111^2*2*$F$4^2))/M111</f>
        <v>5.0787203786508783E-4</v>
      </c>
      <c r="P111" s="2"/>
      <c r="Q111" s="38"/>
      <c r="R111" s="51"/>
      <c r="S111" s="52"/>
      <c r="T111" s="53"/>
      <c r="U111" s="39"/>
      <c r="V111" s="2"/>
      <c r="W111" s="38">
        <v>3.1372</v>
      </c>
      <c r="X111" s="51"/>
      <c r="Y111" s="51"/>
      <c r="Z111" s="28"/>
      <c r="AA111" s="54"/>
      <c r="AB111" s="55"/>
      <c r="AC111" s="2"/>
      <c r="AD111" s="38">
        <f>Z110/N111</f>
        <v>0.50165765758745573</v>
      </c>
      <c r="AE111" s="39"/>
      <c r="AG111" s="38">
        <f>AD111/(G111/10)</f>
        <v>2.7817326027917035</v>
      </c>
      <c r="AH111" s="51">
        <f>AD111/(S110*2.54)</f>
        <v>2.8074344676362606</v>
      </c>
      <c r="AI111" s="56">
        <f>AG111/AH111</f>
        <v>0.99084507042253533</v>
      </c>
    </row>
    <row r="112" spans="1:35" ht="16.5" thickBot="1">
      <c r="A112" s="36"/>
      <c r="B112" s="28"/>
      <c r="C112" s="28"/>
      <c r="D112" s="37"/>
      <c r="E112" s="2"/>
      <c r="F112" s="38"/>
      <c r="G112" s="49"/>
      <c r="H112" s="50"/>
      <c r="I112" s="39"/>
      <c r="J112" s="2"/>
      <c r="K112" s="57">
        <v>0.98470000000000002</v>
      </c>
      <c r="L112" s="58">
        <v>0.98429999999999995</v>
      </c>
      <c r="M112" s="59"/>
      <c r="N112" s="59"/>
      <c r="O112" s="60"/>
      <c r="P112" s="2"/>
      <c r="Q112" s="38"/>
      <c r="R112" s="51"/>
      <c r="S112" s="52"/>
      <c r="T112" s="53"/>
      <c r="U112" s="39"/>
      <c r="V112" s="2"/>
      <c r="W112" s="38"/>
      <c r="X112" s="51"/>
      <c r="Y112" s="51"/>
      <c r="Z112" s="28"/>
      <c r="AA112" s="54"/>
      <c r="AB112" s="55"/>
      <c r="AC112" s="2"/>
      <c r="AD112" s="38"/>
      <c r="AE112" s="39"/>
      <c r="AG112" s="38"/>
      <c r="AH112" s="51"/>
      <c r="AI112" s="56"/>
    </row>
    <row r="113" spans="1:35" s="3" customFormat="1">
      <c r="A113" s="80" t="s">
        <v>90</v>
      </c>
      <c r="C113" s="3" t="s">
        <v>40</v>
      </c>
      <c r="D113" s="81"/>
      <c r="E113" s="2"/>
      <c r="F113" s="82">
        <v>0.14199999999999999</v>
      </c>
      <c r="G113" s="83">
        <f t="shared" si="21"/>
        <v>3.6067999999999993</v>
      </c>
      <c r="H113" s="84">
        <f>$G$4/G113</f>
        <v>1.7605633802816904E-3</v>
      </c>
      <c r="I113" s="85">
        <f t="shared" si="22"/>
        <v>4.0544064748201429E-2</v>
      </c>
      <c r="J113" s="2"/>
      <c r="K113" s="82">
        <v>0.98399999999999999</v>
      </c>
      <c r="L113" s="86">
        <v>0.98399999999999999</v>
      </c>
      <c r="M113" s="87">
        <f>IF(K113="","",K113*L113)</f>
        <v>0.96825600000000001</v>
      </c>
      <c r="N113" s="87">
        <f>IF(M113="","",M113*2.54*2.54)</f>
        <v>6.2468004096000005</v>
      </c>
      <c r="O113" s="85">
        <f>(SQRT(K113^2*$L$4^2+L113^2*$K$4^2))/M113</f>
        <v>1.4372089048507064E-3</v>
      </c>
      <c r="P113" s="2"/>
      <c r="Q113" s="82">
        <v>0.1467</v>
      </c>
      <c r="R113" s="86">
        <v>0.1424</v>
      </c>
      <c r="S113" s="87">
        <f>AVERAGE(Q113:R113)</f>
        <v>0.14455000000000001</v>
      </c>
      <c r="T113" s="89">
        <f>STDEV(Q113:R113)</f>
        <v>3.0405591591021533E-3</v>
      </c>
      <c r="U113" s="85">
        <f>1/SQRT(COUNT(Q113:R113))*$Q$4/S113</f>
        <v>9.7835597535323067E-4</v>
      </c>
      <c r="V113" s="2"/>
      <c r="W113" s="82">
        <v>6.2945000000000002</v>
      </c>
      <c r="X113" s="86">
        <v>6.2944000000000004</v>
      </c>
      <c r="Y113" s="86">
        <v>6.2942999999999998</v>
      </c>
      <c r="Z113" s="3">
        <f>AVERAGE(W113:Y113)</f>
        <v>6.2944000000000004</v>
      </c>
      <c r="AA113" s="90">
        <f>STDEV(W113:Y113)</f>
        <v>1.0000000000021103E-4</v>
      </c>
      <c r="AB113" s="91">
        <f>SQRT(COUNT(W113:Y113))*$Y$4/Z113</f>
        <v>5.5034659620261728E-4</v>
      </c>
      <c r="AC113" s="2"/>
      <c r="AD113" s="82">
        <f>Z113/N113</f>
        <v>1.0076198353203105</v>
      </c>
      <c r="AE113" s="85">
        <f>SQRT((1/N113)^2*(AB113*Z113)^2 + (Z113/N113^2)^2*(O113*N113)^2)/AD113</f>
        <v>1.5389771967556809E-3</v>
      </c>
      <c r="AG113" s="82">
        <f>AD113/(G113/10)</f>
        <v>2.793667060331348</v>
      </c>
      <c r="AH113" s="86">
        <f>AD113/(S113*2.54)</f>
        <v>2.7443841063095911</v>
      </c>
      <c r="AI113" s="92">
        <f>AG113/AH113</f>
        <v>1.0179577464788734</v>
      </c>
    </row>
    <row r="114" spans="1:35" s="28" customFormat="1">
      <c r="A114" s="36"/>
      <c r="D114" s="37"/>
      <c r="E114" s="2"/>
      <c r="F114" s="38">
        <v>0.14199999999999999</v>
      </c>
      <c r="G114" s="49">
        <f t="shared" si="21"/>
        <v>3.6067999999999993</v>
      </c>
      <c r="H114" s="50">
        <f>$G$4/G114</f>
        <v>1.7605633802816904E-3</v>
      </c>
      <c r="I114" s="39" t="str">
        <f t="shared" si="22"/>
        <v/>
      </c>
      <c r="J114" s="2"/>
      <c r="K114" s="57">
        <v>0.98429999999999995</v>
      </c>
      <c r="L114" s="58">
        <v>0.98470000000000002</v>
      </c>
      <c r="M114" s="59">
        <f>IF(K114="","",AVERAGE(K114,K115)*AVERAGE(L114,L115))</f>
        <v>0.96928945999999994</v>
      </c>
      <c r="N114" s="59">
        <f>IF(M114="","",M114*2.54*2.54)</f>
        <v>6.2534678801359993</v>
      </c>
      <c r="O114" s="60">
        <f>(SQRT(K114^2*2*$F$4^2+L114^2*2*$F$4^2))/M114</f>
        <v>5.0784624250163645E-4</v>
      </c>
      <c r="P114" s="2"/>
      <c r="Q114" s="38"/>
      <c r="R114" s="51"/>
      <c r="S114" s="52"/>
      <c r="T114" s="53"/>
      <c r="U114" s="39"/>
      <c r="V114" s="2"/>
      <c r="W114" s="38">
        <v>6.2942999999999998</v>
      </c>
      <c r="X114" s="51">
        <v>6.2942999999999998</v>
      </c>
      <c r="Y114" s="51"/>
      <c r="AA114" s="54"/>
      <c r="AB114" s="55"/>
      <c r="AC114" s="2"/>
      <c r="AD114" s="38">
        <f>Z113/N114</f>
        <v>1.0065455073326628</v>
      </c>
      <c r="AE114" s="39"/>
      <c r="AG114" s="38">
        <f>AD114/(G114/10)</f>
        <v>2.7906884421999085</v>
      </c>
      <c r="AH114" s="51">
        <f>AD114/(S113*2.54)</f>
        <v>2.7414580338456376</v>
      </c>
      <c r="AI114" s="56">
        <f>AG114/AH114</f>
        <v>1.0179577464788736</v>
      </c>
    </row>
    <row r="115" spans="1:35" s="62" customFormat="1" ht="16.5" thickBot="1">
      <c r="A115" s="61"/>
      <c r="D115" s="63"/>
      <c r="E115" s="2"/>
      <c r="F115" s="64"/>
      <c r="G115" s="65"/>
      <c r="H115" s="66"/>
      <c r="I115" s="67"/>
      <c r="J115" s="2"/>
      <c r="K115" s="68">
        <v>0.98450000000000004</v>
      </c>
      <c r="L115" s="69">
        <v>0.98460000000000003</v>
      </c>
      <c r="M115" s="70"/>
      <c r="N115" s="70"/>
      <c r="O115" s="71"/>
      <c r="P115" s="2"/>
      <c r="Q115" s="64"/>
      <c r="R115" s="77"/>
      <c r="S115" s="73"/>
      <c r="T115" s="74"/>
      <c r="U115" s="67"/>
      <c r="V115" s="2"/>
      <c r="W115" s="64"/>
      <c r="X115" s="77"/>
      <c r="Y115" s="77"/>
      <c r="AA115" s="75"/>
      <c r="AB115" s="76"/>
      <c r="AC115" s="2"/>
      <c r="AD115" s="64"/>
      <c r="AE115" s="67"/>
      <c r="AG115" s="64"/>
      <c r="AH115" s="77"/>
      <c r="AI115" s="78"/>
    </row>
    <row r="116" spans="1:35">
      <c r="A116" s="36" t="s">
        <v>91</v>
      </c>
      <c r="B116" s="28"/>
      <c r="C116" s="28" t="s">
        <v>40</v>
      </c>
      <c r="D116" s="37"/>
      <c r="E116" s="2"/>
      <c r="F116" s="38">
        <v>0.14149999999999999</v>
      </c>
      <c r="G116" s="49">
        <f t="shared" si="21"/>
        <v>3.5940999999999996</v>
      </c>
      <c r="H116" s="50">
        <f>$G$4/G116</f>
        <v>1.76678445229682E-3</v>
      </c>
      <c r="I116" s="39">
        <f t="shared" si="22"/>
        <v>4.0401303956834521E-2</v>
      </c>
      <c r="J116" s="2"/>
      <c r="K116" s="38">
        <v>0.98399999999999999</v>
      </c>
      <c r="L116" s="51">
        <v>0.98399999999999999</v>
      </c>
      <c r="M116" s="52">
        <f>IF(K116="","",K116*L116)</f>
        <v>0.96825600000000001</v>
      </c>
      <c r="N116" s="52">
        <f>IF(M116="","",M116*2.54*2.54)</f>
        <v>6.2468004096000005</v>
      </c>
      <c r="O116" s="39">
        <f>(SQRT(K116^2*$L$4^2+L116^2*$K$4^2))/M116</f>
        <v>1.4372089048507064E-3</v>
      </c>
      <c r="P116" s="2"/>
      <c r="Q116" s="38">
        <v>0.14319999999999999</v>
      </c>
      <c r="R116" s="58">
        <v>0.14219999999999999</v>
      </c>
      <c r="S116" s="52">
        <f>AVERAGE(Q116:R116)</f>
        <v>0.14269999999999999</v>
      </c>
      <c r="T116" s="53">
        <f>STDEV(Q116:R116)</f>
        <v>7.0710678118654816E-4</v>
      </c>
      <c r="U116" s="39">
        <f>1/SQRT(COUNT(Q116:R116))*$Q$4/S116</f>
        <v>9.9103963726215492E-4</v>
      </c>
      <c r="V116" s="2"/>
      <c r="W116" s="38">
        <v>6.2743000000000002</v>
      </c>
      <c r="X116" s="51">
        <v>6.2743000000000002</v>
      </c>
      <c r="Y116" s="51">
        <v>6.2743000000000002</v>
      </c>
      <c r="Z116" s="28">
        <f>AVERAGE(W116:Y116)</f>
        <v>6.2743000000000002</v>
      </c>
      <c r="AA116" s="54">
        <f>STDEV(W116:Y116)</f>
        <v>0</v>
      </c>
      <c r="AB116" s="55">
        <f>SQRT(COUNT(W116:Y116))*$Y$4/Z116</f>
        <v>5.521096560792047E-4</v>
      </c>
      <c r="AC116" s="2"/>
      <c r="AD116" s="38">
        <f>Z116/N116</f>
        <v>1.0044021880958032</v>
      </c>
      <c r="AE116" s="39">
        <f>SQRT((1/N116)^2*(AB116*Z116)^2 + (Z116/N116^2)^2*(O116*N116)^2)/AD116</f>
        <v>1.5396085569124591E-3</v>
      </c>
      <c r="AG116" s="38">
        <f>AD116/(G116/10)</f>
        <v>2.7945860941426317</v>
      </c>
      <c r="AH116" s="51">
        <f>AD116/(S116*2.54)</f>
        <v>2.7710857205408712</v>
      </c>
      <c r="AI116" s="56">
        <f>AG116/AH116</f>
        <v>1.0084805653710249</v>
      </c>
    </row>
    <row r="117" spans="1:35">
      <c r="A117" s="36"/>
      <c r="B117" s="28"/>
      <c r="C117" s="28"/>
      <c r="D117" s="37"/>
      <c r="E117" s="2"/>
      <c r="F117" s="38">
        <v>0.1416</v>
      </c>
      <c r="G117" s="49">
        <f t="shared" si="21"/>
        <v>3.5966399999999998</v>
      </c>
      <c r="H117" s="50">
        <f>$G$4/G117</f>
        <v>1.7655367231638418E-3</v>
      </c>
      <c r="I117" s="39" t="str">
        <f t="shared" si="22"/>
        <v/>
      </c>
      <c r="J117" s="2"/>
      <c r="K117" s="57">
        <v>0.98450000000000004</v>
      </c>
      <c r="L117" s="58">
        <v>0.98450000000000004</v>
      </c>
      <c r="M117" s="59">
        <f>IF(K117="","",AVERAGE(K117,K118)*AVERAGE(L117,L118))</f>
        <v>0.96919102000000001</v>
      </c>
      <c r="N117" s="59">
        <f>IF(M117="","",M117*2.54*2.54)</f>
        <v>6.252832784632</v>
      </c>
      <c r="O117" s="60">
        <f>(SQRT(K117^2*2*$F$4^2+L117^2*2*$F$4^2))/M117</f>
        <v>5.0789781358065E-4</v>
      </c>
      <c r="P117" s="2"/>
      <c r="Q117" s="38"/>
      <c r="R117" s="51"/>
      <c r="S117" s="52"/>
      <c r="T117" s="53"/>
      <c r="U117" s="39"/>
      <c r="V117" s="2"/>
      <c r="W117" s="38">
        <v>6.2740999999999998</v>
      </c>
      <c r="X117" s="51"/>
      <c r="Y117" s="51"/>
      <c r="Z117" s="28"/>
      <c r="AA117" s="54"/>
      <c r="AB117" s="55"/>
      <c r="AC117" s="2"/>
      <c r="AD117" s="38">
        <f>Z116/N117</f>
        <v>1.0034331983770239</v>
      </c>
      <c r="AE117" s="39"/>
      <c r="AG117" s="38">
        <f>AD117/(G117/10)</f>
        <v>2.7899183637423373</v>
      </c>
      <c r="AH117" s="51">
        <f>AD117/(S116*2.54)</f>
        <v>2.7684123357106865</v>
      </c>
      <c r="AI117" s="56">
        <f>AG117/AH117</f>
        <v>1.0077683615819208</v>
      </c>
    </row>
    <row r="118" spans="1:35" ht="16.5" thickBot="1">
      <c r="A118" s="36"/>
      <c r="B118" s="28"/>
      <c r="C118" s="28"/>
      <c r="D118" s="37"/>
      <c r="E118" s="2"/>
      <c r="F118" s="38"/>
      <c r="G118" s="49"/>
      <c r="H118" s="50"/>
      <c r="I118" s="39"/>
      <c r="J118" s="2"/>
      <c r="K118" s="57">
        <v>0.98429999999999995</v>
      </c>
      <c r="L118" s="58">
        <v>0.98460000000000003</v>
      </c>
      <c r="M118" s="59"/>
      <c r="N118" s="59"/>
      <c r="O118" s="60"/>
      <c r="P118" s="2"/>
      <c r="Q118" s="38"/>
      <c r="R118" s="51"/>
      <c r="S118" s="52"/>
      <c r="T118" s="53"/>
      <c r="U118" s="39"/>
      <c r="V118" s="2"/>
      <c r="W118" s="38"/>
      <c r="X118" s="51"/>
      <c r="Y118" s="51"/>
      <c r="Z118" s="28"/>
      <c r="AA118" s="54"/>
      <c r="AB118" s="55"/>
      <c r="AC118" s="2"/>
      <c r="AD118" s="38"/>
      <c r="AE118" s="39"/>
      <c r="AG118" s="38"/>
      <c r="AH118" s="51"/>
      <c r="AI118" s="56"/>
    </row>
    <row r="119" spans="1:35" s="3" customFormat="1">
      <c r="A119" s="80" t="s">
        <v>92</v>
      </c>
      <c r="C119" s="3" t="s">
        <v>40</v>
      </c>
      <c r="D119" s="81"/>
      <c r="E119" s="2"/>
      <c r="F119" s="82">
        <v>3.5000000000000003E-2</v>
      </c>
      <c r="G119" s="83">
        <f t="shared" si="21"/>
        <v>0.88900000000000001</v>
      </c>
      <c r="H119" s="84">
        <f>$G$4/G119</f>
        <v>7.1428571428571426E-3</v>
      </c>
      <c r="I119" s="85">
        <f t="shared" si="22"/>
        <v>9.9932553956834525E-3</v>
      </c>
      <c r="J119" s="2"/>
      <c r="K119" s="82">
        <v>0.98299999999999998</v>
      </c>
      <c r="L119" s="86">
        <v>0.98399999999999999</v>
      </c>
      <c r="M119" s="87">
        <f>IF(K119="","",K119*L119)</f>
        <v>0.96727200000000002</v>
      </c>
      <c r="N119" s="87">
        <f>IF(M119="","",M119*2.54*2.54)</f>
        <v>6.2404520351999997</v>
      </c>
      <c r="O119" s="85">
        <f>(SQRT(K119^2*$L$4^2+L119^2*$K$4^2))/M119</f>
        <v>1.4379401226711544E-3</v>
      </c>
      <c r="P119" s="2"/>
      <c r="Q119" s="82">
        <v>3.39E-2</v>
      </c>
      <c r="R119" s="86">
        <v>3.4200000000000001E-2</v>
      </c>
      <c r="S119" s="87">
        <f>AVERAGE(Q119:R119)</f>
        <v>3.4049999999999997E-2</v>
      </c>
      <c r="T119" s="89">
        <f>STDEV(Q119:R119)</f>
        <v>2.1213203435596541E-4</v>
      </c>
      <c r="U119" s="85">
        <f>1/SQRT(COUNT(Q119:R119))*$Q$4/S119</f>
        <v>4.1533437955156979E-3</v>
      </c>
      <c r="V119" s="2"/>
      <c r="W119" s="82">
        <v>1.5246</v>
      </c>
      <c r="X119" s="86">
        <v>1.5246999999999999</v>
      </c>
      <c r="Y119" s="86">
        <v>1.5246</v>
      </c>
      <c r="Z119" s="3">
        <f>AVERAGE(W119:Y119)</f>
        <v>1.5246333333333333</v>
      </c>
      <c r="AA119" s="90">
        <f>STDEV(W119:Y119)</f>
        <v>5.7735026918956222E-5</v>
      </c>
      <c r="AB119" s="91">
        <f>SQRT(COUNT(W119:Y119))*$Y$4/Z119</f>
        <v>2.2720883371768652E-3</v>
      </c>
      <c r="AC119" s="2"/>
      <c r="AD119" s="82">
        <f>Z119/N119</f>
        <v>0.24431456643420391</v>
      </c>
      <c r="AE119" s="85">
        <f>SQRT((1/N119)^2*(AB119*Z119)^2 + (Z119/N119^2)^2*(O119*N119)^2)/AD119</f>
        <v>2.6888765699307703E-3</v>
      </c>
      <c r="AG119" s="82">
        <f>AD119/(G119/10)</f>
        <v>2.7481953479662979</v>
      </c>
      <c r="AH119" s="86">
        <f>AD119/(S119*2.54)</f>
        <v>2.8248704017274724</v>
      </c>
      <c r="AI119" s="92">
        <f>AG119/AH119</f>
        <v>0.97285714285714275</v>
      </c>
    </row>
    <row r="120" spans="1:35" s="28" customFormat="1">
      <c r="A120" s="36"/>
      <c r="D120" s="37"/>
      <c r="E120" s="2"/>
      <c r="F120" s="38">
        <v>3.49E-2</v>
      </c>
      <c r="G120" s="49">
        <f t="shared" si="21"/>
        <v>0.88645999999999991</v>
      </c>
      <c r="H120" s="50">
        <f>$G$4/G120</f>
        <v>7.1633237822349575E-3</v>
      </c>
      <c r="I120" s="39" t="str">
        <f t="shared" si="22"/>
        <v/>
      </c>
      <c r="J120" s="2"/>
      <c r="K120" s="57">
        <v>0.98480000000000001</v>
      </c>
      <c r="L120" s="58">
        <v>0.98480000000000001</v>
      </c>
      <c r="M120" s="59">
        <f>IF(K120="","",AVERAGE(K120,K121)*AVERAGE(L120,L121))</f>
        <v>0.96983103999999998</v>
      </c>
      <c r="N120" s="59">
        <f>IF(M120="","",M120*2.54*2.54)</f>
        <v>6.2569619376640002</v>
      </c>
      <c r="O120" s="60">
        <f>(SQRT(K120^2*2*$F$4^2+L120^2*2*$F$4^2))/M120</f>
        <v>5.0771730300568649E-4</v>
      </c>
      <c r="P120" s="2"/>
      <c r="Q120" s="38"/>
      <c r="R120" s="51"/>
      <c r="S120" s="52"/>
      <c r="T120" s="53"/>
      <c r="U120" s="39"/>
      <c r="V120" s="2"/>
      <c r="W120" s="38">
        <v>1.5246999999999999</v>
      </c>
      <c r="X120" s="51">
        <v>1.5246</v>
      </c>
      <c r="Y120" s="51"/>
      <c r="AA120" s="54"/>
      <c r="AB120" s="55"/>
      <c r="AC120" s="2"/>
      <c r="AD120" s="38">
        <f>Z119/N120</f>
        <v>0.24366990698085436</v>
      </c>
      <c r="AE120" s="39"/>
      <c r="AG120" s="38">
        <f>AD120/(G120/10)</f>
        <v>2.7487975428203684</v>
      </c>
      <c r="AH120" s="51">
        <f>AD120/(S119*2.54)</f>
        <v>2.8174165710552379</v>
      </c>
      <c r="AI120" s="56">
        <f>AG120/AH120</f>
        <v>0.97564469914040119</v>
      </c>
    </row>
    <row r="121" spans="1:35" s="62" customFormat="1" ht="16.5" thickBot="1">
      <c r="A121" s="61"/>
      <c r="D121" s="63"/>
      <c r="E121" s="2"/>
      <c r="F121" s="64"/>
      <c r="G121" s="65"/>
      <c r="H121" s="66"/>
      <c r="I121" s="67"/>
      <c r="J121" s="2"/>
      <c r="K121" s="68">
        <v>0.98480000000000001</v>
      </c>
      <c r="L121" s="69">
        <v>0.98480000000000001</v>
      </c>
      <c r="M121" s="70"/>
      <c r="N121" s="70"/>
      <c r="O121" s="71"/>
      <c r="P121" s="2"/>
      <c r="Q121" s="64"/>
      <c r="R121" s="77"/>
      <c r="S121" s="73"/>
      <c r="T121" s="74"/>
      <c r="U121" s="67"/>
      <c r="V121" s="2"/>
      <c r="W121" s="64"/>
      <c r="X121" s="77"/>
      <c r="Y121" s="77"/>
      <c r="AA121" s="75"/>
      <c r="AB121" s="76"/>
      <c r="AC121" s="2"/>
      <c r="AD121" s="64"/>
      <c r="AE121" s="67"/>
      <c r="AG121" s="64"/>
      <c r="AH121" s="77"/>
      <c r="AI121" s="78"/>
    </row>
    <row r="122" spans="1:35">
      <c r="A122" s="36" t="s">
        <v>93</v>
      </c>
      <c r="B122" s="28"/>
      <c r="C122" s="28" t="s">
        <v>40</v>
      </c>
      <c r="D122" s="37"/>
      <c r="E122" s="2"/>
      <c r="F122" s="38">
        <v>3.5000000000000003E-2</v>
      </c>
      <c r="G122" s="49">
        <f t="shared" si="21"/>
        <v>0.88900000000000001</v>
      </c>
      <c r="H122" s="50">
        <f>$G$4/G122</f>
        <v>7.1428571428571426E-3</v>
      </c>
      <c r="I122" s="39">
        <f t="shared" si="22"/>
        <v>9.9932553956834525E-3</v>
      </c>
      <c r="J122" s="2"/>
      <c r="K122" s="38">
        <v>0.98399999999999999</v>
      </c>
      <c r="L122" s="51">
        <v>0.98399999999999999</v>
      </c>
      <c r="M122" s="52">
        <f>IF(K122="","",K122*L122)</f>
        <v>0.96825600000000001</v>
      </c>
      <c r="N122" s="52">
        <f>IF(M122="","",M122*2.54*2.54)</f>
        <v>6.2468004096000005</v>
      </c>
      <c r="O122" s="39">
        <f>(SQRT(K122^2*$L$4^2+L122^2*$K$4^2))/M122</f>
        <v>1.4372089048507064E-3</v>
      </c>
      <c r="P122" s="2"/>
      <c r="Q122" s="38">
        <v>3.4299999999999997E-2</v>
      </c>
      <c r="R122" s="51">
        <v>3.4799999999999998E-2</v>
      </c>
      <c r="S122" s="52">
        <f>AVERAGE(Q122:R122)</f>
        <v>3.4549999999999997E-2</v>
      </c>
      <c r="T122" s="53">
        <f>STDEV(Q122:R122)</f>
        <v>3.5355339059327408E-4</v>
      </c>
      <c r="U122" s="39">
        <f>1/SQRT(COUNT(Q122:R122))*$Q$4/S122</f>
        <v>4.0932375177224175E-3</v>
      </c>
      <c r="V122" s="2"/>
      <c r="W122" s="38">
        <v>1.5358000000000001</v>
      </c>
      <c r="X122" s="51">
        <v>1.5358000000000001</v>
      </c>
      <c r="Y122" s="51">
        <v>1.5357000000000001</v>
      </c>
      <c r="Z122" s="28">
        <f>AVERAGE(W122:Y122)</f>
        <v>1.5357666666666667</v>
      </c>
      <c r="AA122" s="54">
        <f>STDEV(W122:Y122)</f>
        <v>5.7735026918956222E-5</v>
      </c>
      <c r="AB122" s="55">
        <f>SQRT(COUNT(W122:Y122))*$Y$4/Z122</f>
        <v>2.2556171391950302E-3</v>
      </c>
      <c r="AC122" s="2"/>
      <c r="AD122" s="38">
        <f>Z122/N122</f>
        <v>0.24584852499953749</v>
      </c>
      <c r="AE122" s="39">
        <f>SQRT((1/N122)^2*(AB122*Z122)^2 + (Z122/N122^2)^2*(O122*N122)^2)/AD122</f>
        <v>2.6745799884865173E-3</v>
      </c>
      <c r="AG122" s="38">
        <f>AD122/(G122/10)</f>
        <v>2.7654502249666759</v>
      </c>
      <c r="AH122" s="51">
        <f>AD122/(S122*2.54)</f>
        <v>2.8014691135697154</v>
      </c>
      <c r="AI122" s="56">
        <f>AG122/AH122</f>
        <v>0.98714285714285699</v>
      </c>
    </row>
    <row r="123" spans="1:35">
      <c r="A123" s="36"/>
      <c r="B123" s="28"/>
      <c r="C123" s="28"/>
      <c r="D123" s="37"/>
      <c r="E123" s="2"/>
      <c r="F123" s="38">
        <v>3.5099999999999999E-2</v>
      </c>
      <c r="G123" s="49">
        <f t="shared" si="21"/>
        <v>0.89153999999999989</v>
      </c>
      <c r="H123" s="50">
        <f>$G$4/G123</f>
        <v>7.1225071225071235E-3</v>
      </c>
      <c r="I123" s="39" t="str">
        <f t="shared" si="22"/>
        <v/>
      </c>
      <c r="J123" s="2"/>
      <c r="K123" s="57">
        <v>0.98480000000000001</v>
      </c>
      <c r="L123" s="58">
        <v>0.98480000000000001</v>
      </c>
      <c r="M123" s="59">
        <f>IF(K123="","",AVERAGE(K123,K124)*AVERAGE(L123,L124))</f>
        <v>0.96963409</v>
      </c>
      <c r="N123" s="59">
        <f>IF(M123="","",M123*2.54*2.54)</f>
        <v>6.2556912950439996</v>
      </c>
      <c r="O123" s="60">
        <f>(SQRT(K123^2*2*$F$4^2+L123^2*2*$F$4^2))/M123</f>
        <v>5.0782042945705431E-4</v>
      </c>
      <c r="P123" s="2"/>
      <c r="Q123" s="38"/>
      <c r="R123" s="51"/>
      <c r="S123" s="52"/>
      <c r="T123" s="53"/>
      <c r="U123" s="39"/>
      <c r="V123" s="2"/>
      <c r="W123" s="38">
        <v>1.5358000000000001</v>
      </c>
      <c r="X123" s="51"/>
      <c r="Y123" s="51"/>
      <c r="Z123" s="28"/>
      <c r="AA123" s="54"/>
      <c r="AB123" s="55"/>
      <c r="AC123" s="2"/>
      <c r="AD123" s="38">
        <f>Z122/N123</f>
        <v>0.24549911340467848</v>
      </c>
      <c r="AE123" s="39"/>
      <c r="AG123" s="38">
        <f>AD123/(G123/10)</f>
        <v>2.7536522579433176</v>
      </c>
      <c r="AH123" s="51">
        <f>AD123/(S122*2.54)</f>
        <v>2.7974875326717927</v>
      </c>
      <c r="AI123" s="56">
        <f>AG123/AH123</f>
        <v>0.98433048433048442</v>
      </c>
    </row>
    <row r="124" spans="1:35" ht="16.5" thickBot="1">
      <c r="A124" s="61"/>
      <c r="B124" s="62"/>
      <c r="C124" s="62"/>
      <c r="D124" s="63"/>
      <c r="E124" s="2"/>
      <c r="F124" s="64"/>
      <c r="G124" s="65"/>
      <c r="H124" s="66"/>
      <c r="I124" s="67"/>
      <c r="J124" s="2"/>
      <c r="K124" s="68">
        <v>0.98460000000000003</v>
      </c>
      <c r="L124" s="69">
        <v>0.98460000000000003</v>
      </c>
      <c r="M124" s="70"/>
      <c r="N124" s="70"/>
      <c r="O124" s="71"/>
      <c r="P124" s="2"/>
      <c r="Q124" s="64"/>
      <c r="R124" s="77"/>
      <c r="S124" s="73"/>
      <c r="T124" s="74"/>
      <c r="U124" s="67"/>
      <c r="V124" s="2"/>
      <c r="W124" s="64"/>
      <c r="X124" s="77"/>
      <c r="Y124" s="77"/>
      <c r="Z124" s="62"/>
      <c r="AA124" s="75"/>
      <c r="AB124" s="76"/>
      <c r="AC124" s="2"/>
      <c r="AD124" s="64"/>
      <c r="AE124" s="67"/>
      <c r="AG124" s="64"/>
      <c r="AH124" s="77"/>
      <c r="AI124" s="78"/>
    </row>
    <row r="125" spans="1:35">
      <c r="E125" s="2"/>
      <c r="AG125" s="125"/>
      <c r="AH125" s="125"/>
    </row>
    <row r="126" spans="1:35">
      <c r="A126" s="1" t="s">
        <v>94</v>
      </c>
    </row>
    <row r="127" spans="1:35">
      <c r="B127" t="s">
        <v>95</v>
      </c>
      <c r="R127">
        <f>U107*S107</f>
        <v>1.4142135623730951E-4</v>
      </c>
      <c r="W127" t="s">
        <v>96</v>
      </c>
      <c r="Y127">
        <v>1.0006999999999999</v>
      </c>
    </row>
    <row r="128" spans="1:35">
      <c r="B128" t="s">
        <v>97</v>
      </c>
      <c r="W128" t="s">
        <v>98</v>
      </c>
      <c r="Y128">
        <v>1.9965999999999999</v>
      </c>
    </row>
    <row r="129" spans="2:25">
      <c r="B129" t="s">
        <v>99</v>
      </c>
      <c r="W129" t="s">
        <v>100</v>
      </c>
      <c r="Y129">
        <v>2.0015999999999998</v>
      </c>
    </row>
    <row r="130" spans="2:25">
      <c r="Q130" s="126"/>
      <c r="W130" t="s">
        <v>101</v>
      </c>
      <c r="Y130">
        <v>5.0045999999999999</v>
      </c>
    </row>
    <row r="131" spans="2:25">
      <c r="B131" t="s">
        <v>102</v>
      </c>
      <c r="W131" t="s">
        <v>103</v>
      </c>
      <c r="Y131">
        <v>10.0047</v>
      </c>
    </row>
    <row r="132" spans="2:25">
      <c r="W132" t="s">
        <v>104</v>
      </c>
      <c r="Y132">
        <v>20.006900000000002</v>
      </c>
    </row>
    <row r="133" spans="2:25">
      <c r="B133" t="s">
        <v>105</v>
      </c>
    </row>
    <row r="134" spans="2:25">
      <c r="B134" t="s">
        <v>106</v>
      </c>
    </row>
    <row r="136" spans="2:25">
      <c r="B136" t="s">
        <v>107</v>
      </c>
    </row>
    <row r="137" spans="2:25">
      <c r="B137" t="s">
        <v>108</v>
      </c>
    </row>
    <row r="139" spans="2:25">
      <c r="B139" t="s">
        <v>109</v>
      </c>
    </row>
    <row r="141" spans="2:25">
      <c r="B141" t="s">
        <v>110</v>
      </c>
    </row>
    <row r="143" spans="2:25">
      <c r="B143" t="s">
        <v>111</v>
      </c>
    </row>
    <row r="145" spans="2:16">
      <c r="B145" t="s">
        <v>112</v>
      </c>
    </row>
    <row r="147" spans="2:16">
      <c r="B147" t="s">
        <v>125</v>
      </c>
    </row>
    <row r="148" spans="2:16">
      <c r="B148" t="s">
        <v>127</v>
      </c>
    </row>
    <row r="149" spans="2:16">
      <c r="B149" t="s">
        <v>126</v>
      </c>
    </row>
    <row r="155" spans="2:16" ht="16.5" thickBot="1"/>
    <row r="156" spans="2:16" ht="16.5" thickBot="1">
      <c r="F156" s="127"/>
      <c r="G156" s="127"/>
      <c r="H156" s="127"/>
      <c r="I156" s="127"/>
      <c r="J156" s="127"/>
      <c r="K156" s="127"/>
      <c r="L156" s="127"/>
      <c r="N156" s="128">
        <f>2.5/25.4</f>
        <v>9.8425196850393706E-2</v>
      </c>
      <c r="O156" s="129"/>
      <c r="P156" s="130" t="s">
        <v>113</v>
      </c>
    </row>
    <row r="157" spans="2:16" ht="16.5" thickBot="1">
      <c r="F157" s="127"/>
      <c r="G157" s="127"/>
      <c r="H157" s="127"/>
      <c r="I157" s="127"/>
      <c r="J157" s="127"/>
      <c r="K157" s="127"/>
      <c r="L157" s="127"/>
      <c r="M157" s="131">
        <v>0.04</v>
      </c>
      <c r="N157" s="128">
        <f>N156*25.4</f>
        <v>2.5</v>
      </c>
      <c r="O157" s="129"/>
      <c r="P157" s="130" t="s">
        <v>114</v>
      </c>
    </row>
    <row r="158" spans="2:16" ht="16.5" thickBot="1">
      <c r="F158" s="132" t="s">
        <v>13</v>
      </c>
      <c r="G158" s="27" t="s">
        <v>115</v>
      </c>
      <c r="H158" s="133"/>
      <c r="I158" s="15" t="s">
        <v>116</v>
      </c>
      <c r="J158" s="15" t="s">
        <v>117</v>
      </c>
      <c r="K158" s="14" t="s">
        <v>118</v>
      </c>
      <c r="L158" s="14" t="s">
        <v>119</v>
      </c>
      <c r="M158" s="134" t="s">
        <v>120</v>
      </c>
      <c r="N158" s="134" t="s">
        <v>121</v>
      </c>
      <c r="O158" s="135"/>
      <c r="P158" s="127"/>
    </row>
    <row r="159" spans="2:16">
      <c r="F159" s="136" t="s">
        <v>38</v>
      </c>
      <c r="G159" s="137">
        <v>871.90200000000004</v>
      </c>
      <c r="H159" s="137"/>
      <c r="I159" s="138">
        <f>G159/100*10</f>
        <v>87.190200000000004</v>
      </c>
      <c r="J159" s="138">
        <f>I159*2</f>
        <v>174.38040000000001</v>
      </c>
      <c r="K159" s="139">
        <f>I159*4</f>
        <v>348.76080000000002</v>
      </c>
      <c r="L159" s="140">
        <f>I159*8</f>
        <v>697.52160000000003</v>
      </c>
      <c r="M159" s="141">
        <f>G159*M$157*10</f>
        <v>348.76080000000002</v>
      </c>
      <c r="N159" s="142">
        <f>N$157/10/G159</f>
        <v>2.8672947189018947E-4</v>
      </c>
      <c r="O159" s="143"/>
      <c r="P159" s="127"/>
    </row>
    <row r="160" spans="2:16">
      <c r="F160" s="144" t="s">
        <v>48</v>
      </c>
      <c r="G160" s="145">
        <v>35.276000000000003</v>
      </c>
      <c r="H160" s="145"/>
      <c r="I160" s="146">
        <f>G160/100*10</f>
        <v>3.5276000000000001</v>
      </c>
      <c r="J160" s="146">
        <f>I160*2</f>
        <v>7.0552000000000001</v>
      </c>
      <c r="K160" s="147">
        <f>I160*4</f>
        <v>14.1104</v>
      </c>
      <c r="L160" s="148">
        <f>I160*8</f>
        <v>28.220800000000001</v>
      </c>
      <c r="M160" s="149">
        <f>G160*M$157*10</f>
        <v>14.1104</v>
      </c>
      <c r="N160" s="150">
        <f>N$157/10/G160</f>
        <v>7.0869713119401283E-3</v>
      </c>
      <c r="O160" s="143"/>
      <c r="P160" s="127"/>
    </row>
    <row r="161" spans="6:16">
      <c r="F161" s="144" t="s">
        <v>44</v>
      </c>
      <c r="G161" s="145">
        <v>21.349</v>
      </c>
      <c r="H161" s="145"/>
      <c r="I161" s="146">
        <f>G161/100*10</f>
        <v>2.1349</v>
      </c>
      <c r="J161" s="146">
        <f>I161*2</f>
        <v>4.2698</v>
      </c>
      <c r="K161" s="147">
        <f>I161*4</f>
        <v>8.5396000000000001</v>
      </c>
      <c r="L161" s="148">
        <f>I161*8</f>
        <v>17.0792</v>
      </c>
      <c r="M161" s="149">
        <f>G161*M$157*10</f>
        <v>8.5396000000000001</v>
      </c>
      <c r="N161" s="150">
        <f>N$157/10/G161</f>
        <v>1.17101503583306E-2</v>
      </c>
      <c r="O161" s="143"/>
      <c r="P161" s="127"/>
    </row>
    <row r="162" spans="6:16" ht="16.5" thickBot="1">
      <c r="F162" s="151" t="s">
        <v>40</v>
      </c>
      <c r="G162" s="152">
        <v>8.8960000000000008</v>
      </c>
      <c r="H162" s="152"/>
      <c r="I162" s="153">
        <f>G162/100*10</f>
        <v>0.88960000000000017</v>
      </c>
      <c r="J162" s="153">
        <f>I162*2</f>
        <v>1.7792000000000003</v>
      </c>
      <c r="K162" s="154">
        <f>I162*4</f>
        <v>3.5584000000000007</v>
      </c>
      <c r="L162" s="154">
        <f>I162*8</f>
        <v>7.1168000000000013</v>
      </c>
      <c r="M162" s="155">
        <f>G162*M$157*10</f>
        <v>3.5584000000000007</v>
      </c>
      <c r="N162" s="156">
        <f>N$157/10/G162</f>
        <v>2.810251798561151E-2</v>
      </c>
      <c r="O162" s="143"/>
      <c r="P162" s="127"/>
    </row>
    <row r="163" spans="6:16"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</row>
    <row r="164" spans="6:16">
      <c r="F164" s="157" t="s">
        <v>122</v>
      </c>
      <c r="G164" s="158">
        <f>Q130</f>
        <v>0</v>
      </c>
      <c r="H164" s="158"/>
      <c r="I164" s="159">
        <f>I162*$AN$187</f>
        <v>0</v>
      </c>
      <c r="J164" s="159">
        <f>J162*$AN$187</f>
        <v>0</v>
      </c>
      <c r="K164" s="159">
        <f>K162*$AN$187</f>
        <v>0</v>
      </c>
      <c r="L164" s="159">
        <f>L162*$AN$187</f>
        <v>0</v>
      </c>
    </row>
    <row r="165" spans="6:16">
      <c r="F165" s="157" t="s">
        <v>123</v>
      </c>
      <c r="G165" s="158">
        <f>G164</f>
        <v>0</v>
      </c>
      <c r="H165" s="158"/>
      <c r="I165" s="160">
        <f>I164/25.4*1000</f>
        <v>0</v>
      </c>
      <c r="J165" s="160">
        <f>J164/25.4*1000</f>
        <v>0</v>
      </c>
      <c r="K165" s="160">
        <f>K164/25.4*1000</f>
        <v>0</v>
      </c>
      <c r="L165" s="160">
        <f>L164/25.4*1000</f>
        <v>0</v>
      </c>
    </row>
  </sheetData>
  <mergeCells count="6">
    <mergeCell ref="AG2:AH2"/>
    <mergeCell ref="Q1:R1"/>
    <mergeCell ref="F2:I2"/>
    <mergeCell ref="K2:N2"/>
    <mergeCell ref="W2:Y2"/>
    <mergeCell ref="AD2:AE2"/>
  </mergeCells>
  <conditionalFormatting sqref="T107:T124">
    <cfRule type="cellIs" dxfId="30" priority="31" operator="greaterThan">
      <formula>U107*S107*1.25</formula>
    </cfRule>
  </conditionalFormatting>
  <conditionalFormatting sqref="T8:T10">
    <cfRule type="cellIs" dxfId="29" priority="30" operator="greaterThan">
      <formula>U8*S8</formula>
    </cfRule>
  </conditionalFormatting>
  <conditionalFormatting sqref="T14:T16">
    <cfRule type="cellIs" dxfId="28" priority="29" operator="greaterThan">
      <formula>U14*S14</formula>
    </cfRule>
  </conditionalFormatting>
  <conditionalFormatting sqref="AA107:AA124">
    <cfRule type="cellIs" dxfId="27" priority="28" operator="greaterThan">
      <formula>AB107*Z107</formula>
    </cfRule>
  </conditionalFormatting>
  <conditionalFormatting sqref="AA68:AA96">
    <cfRule type="cellIs" dxfId="26" priority="27" operator="greaterThan">
      <formula>AB68*Z68</formula>
    </cfRule>
  </conditionalFormatting>
  <conditionalFormatting sqref="AA8:AA16">
    <cfRule type="cellIs" dxfId="25" priority="26" operator="greaterThan">
      <formula>AB8*Z8 *1.25</formula>
    </cfRule>
  </conditionalFormatting>
  <conditionalFormatting sqref="AA27:AA29">
    <cfRule type="cellIs" dxfId="24" priority="25" operator="greaterThan">
      <formula>AB27*Z27</formula>
    </cfRule>
  </conditionalFormatting>
  <conditionalFormatting sqref="T8:T10">
    <cfRule type="cellIs" dxfId="23" priority="24" operator="greaterThan">
      <formula>U8*S8*1.25</formula>
    </cfRule>
  </conditionalFormatting>
  <conditionalFormatting sqref="T14:T16">
    <cfRule type="cellIs" dxfId="22" priority="23" operator="greaterThan">
      <formula>U14*S14*1.25</formula>
    </cfRule>
  </conditionalFormatting>
  <conditionalFormatting sqref="AA27:AA29">
    <cfRule type="cellIs" dxfId="21" priority="22" operator="greaterThan">
      <formula>AB27*Z27 *1.25</formula>
    </cfRule>
  </conditionalFormatting>
  <conditionalFormatting sqref="AA68:AA82">
    <cfRule type="cellIs" dxfId="20" priority="21" operator="greaterThan">
      <formula>AB68*Z68 *1.25</formula>
    </cfRule>
  </conditionalFormatting>
  <conditionalFormatting sqref="AA84:AA96">
    <cfRule type="cellIs" dxfId="19" priority="20" operator="greaterThan">
      <formula>AB84*Z84 *1.25</formula>
    </cfRule>
  </conditionalFormatting>
  <conditionalFormatting sqref="AA107:AA124">
    <cfRule type="cellIs" dxfId="18" priority="19" operator="greaterThan">
      <formula>AB107*Z107 *1.25</formula>
    </cfRule>
  </conditionalFormatting>
  <conditionalFormatting sqref="AA17:AA19">
    <cfRule type="cellIs" dxfId="17" priority="18" operator="greaterThan">
      <formula>AB17*Z17 *1.25</formula>
    </cfRule>
  </conditionalFormatting>
  <conditionalFormatting sqref="AA36:AA38">
    <cfRule type="cellIs" dxfId="16" priority="17" operator="greaterThan">
      <formula>AB36*Z36</formula>
    </cfRule>
  </conditionalFormatting>
  <conditionalFormatting sqref="AA36:AA38">
    <cfRule type="cellIs" dxfId="15" priority="16" operator="greaterThan">
      <formula>AB36*Z36 *1.25</formula>
    </cfRule>
  </conditionalFormatting>
  <conditionalFormatting sqref="T43:T45">
    <cfRule type="cellIs" dxfId="14" priority="15" operator="greaterThan">
      <formula>U43*S43*1.25</formula>
    </cfRule>
  </conditionalFormatting>
  <conditionalFormatting sqref="T46:T48">
    <cfRule type="cellIs" dxfId="13" priority="14" operator="greaterThan">
      <formula>U46*S46*1.25</formula>
    </cfRule>
  </conditionalFormatting>
  <conditionalFormatting sqref="T49:T51">
    <cfRule type="cellIs" dxfId="12" priority="13" operator="greaterThan">
      <formula>U49*S49*1.25</formula>
    </cfRule>
  </conditionalFormatting>
  <conditionalFormatting sqref="AA49:AA51">
    <cfRule type="cellIs" dxfId="11" priority="12" operator="greaterThan">
      <formula>AB49*Z49 *1.25</formula>
    </cfRule>
  </conditionalFormatting>
  <conditionalFormatting sqref="AA43:AA45">
    <cfRule type="cellIs" dxfId="10" priority="11" operator="greaterThan">
      <formula>AB43*Z43</formula>
    </cfRule>
  </conditionalFormatting>
  <conditionalFormatting sqref="AA43:AA45">
    <cfRule type="cellIs" dxfId="9" priority="10" operator="greaterThan">
      <formula>AB43*Z43 *1.25</formula>
    </cfRule>
  </conditionalFormatting>
  <conditionalFormatting sqref="AA46:AA48">
    <cfRule type="cellIs" dxfId="8" priority="9" operator="greaterThan">
      <formula>AB46*Z46</formula>
    </cfRule>
  </conditionalFormatting>
  <conditionalFormatting sqref="AA46:AA48">
    <cfRule type="cellIs" dxfId="7" priority="8" operator="greaterThan">
      <formula>AB46*Z46 *1.25</formula>
    </cfRule>
  </conditionalFormatting>
  <conditionalFormatting sqref="AA49:AA51">
    <cfRule type="cellIs" dxfId="6" priority="7" operator="greaterThan">
      <formula>AB49*Z49</formula>
    </cfRule>
  </conditionalFormatting>
  <conditionalFormatting sqref="AA40">
    <cfRule type="cellIs" dxfId="5" priority="6" operator="greaterThan">
      <formula>AB40*Z40</formula>
    </cfRule>
  </conditionalFormatting>
  <conditionalFormatting sqref="AA40">
    <cfRule type="cellIs" dxfId="4" priority="5" operator="greaterThan">
      <formula>AB40*Z40 *1.25</formula>
    </cfRule>
  </conditionalFormatting>
  <conditionalFormatting sqref="AA100">
    <cfRule type="cellIs" dxfId="3" priority="4" operator="greaterThan">
      <formula>AB100*Z100</formula>
    </cfRule>
  </conditionalFormatting>
  <conditionalFormatting sqref="AA100">
    <cfRule type="cellIs" dxfId="2" priority="3" operator="greaterThan">
      <formula>AB100*Z100 *1.25</formula>
    </cfRule>
  </conditionalFormatting>
  <conditionalFormatting sqref="AA103">
    <cfRule type="cellIs" dxfId="1" priority="2" operator="greaterThan">
      <formula>AB103*Z103</formula>
    </cfRule>
  </conditionalFormatting>
  <conditionalFormatting sqref="AA103">
    <cfRule type="cellIs" dxfId="0" priority="1" operator="greaterThan">
      <formula>AB103*Z103 *1.25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Target List</vt:lpstr>
    </vt:vector>
  </TitlesOfParts>
  <Company>Jefferson Science Associates,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Smith</dc:creator>
  <cp:lastModifiedBy>Greg Smith</cp:lastModifiedBy>
  <cp:lastPrinted>2010-05-26T20:46:59Z</cp:lastPrinted>
  <dcterms:created xsi:type="dcterms:W3CDTF">2010-05-18T20:41:02Z</dcterms:created>
  <dcterms:modified xsi:type="dcterms:W3CDTF">2010-05-27T21:24:05Z</dcterms:modified>
</cp:coreProperties>
</file>