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19155" windowHeight="11205"/>
  </bookViews>
  <sheets>
    <sheet name="Rel to Acc" sheetId="4" r:id="rId1"/>
    <sheet name="Rel to Goni" sheetId="5" r:id="rId2"/>
    <sheet name="Rel to HD 0,0" sheetId="6" r:id="rId3"/>
    <sheet name="Rel to measured sol center" sheetId="7" r:id="rId4"/>
    <sheet name="data from JD" sheetId="1" r:id="rId5"/>
    <sheet name="Reference frames" sheetId="2" r:id="rId6"/>
    <sheet name="FDC Packages" sheetId="3" r:id="rId7"/>
  </sheets>
  <calcPr calcId="145621"/>
</workbook>
</file>

<file path=xl/calcChain.xml><?xml version="1.0" encoding="utf-8"?>
<calcChain xmlns="http://schemas.openxmlformats.org/spreadsheetml/2006/main">
  <c r="E44" i="1" l="1"/>
  <c r="F44" i="1" s="1"/>
  <c r="G47" i="4"/>
  <c r="G47" i="6" s="1"/>
  <c r="E47" i="4"/>
  <c r="E47" i="7" s="1"/>
  <c r="D47" i="4"/>
  <c r="G46" i="4"/>
  <c r="G46" i="7" s="1"/>
  <c r="E46" i="4"/>
  <c r="D46" i="4"/>
  <c r="D46" i="7" s="1"/>
  <c r="G45" i="4"/>
  <c r="E45" i="4"/>
  <c r="E45" i="7" s="1"/>
  <c r="D45" i="4"/>
  <c r="D45" i="7" s="1"/>
  <c r="G44" i="4"/>
  <c r="G44" i="7" s="1"/>
  <c r="E44" i="4"/>
  <c r="E44" i="7" s="1"/>
  <c r="D44" i="4"/>
  <c r="D44" i="6" s="1"/>
  <c r="V52" i="1"/>
  <c r="V54" i="1" s="1"/>
  <c r="E47" i="1"/>
  <c r="F47" i="1" s="1"/>
  <c r="F13" i="3"/>
  <c r="F11" i="3"/>
  <c r="F9" i="3"/>
  <c r="F6" i="3"/>
  <c r="G47" i="7"/>
  <c r="D47" i="7"/>
  <c r="E46" i="7"/>
  <c r="G45" i="7"/>
  <c r="F44" i="7"/>
  <c r="D47" i="6"/>
  <c r="E46" i="6"/>
  <c r="G45" i="6"/>
  <c r="D45" i="6"/>
  <c r="G44" i="6"/>
  <c r="F44" i="6"/>
  <c r="G47" i="5"/>
  <c r="E47" i="5"/>
  <c r="D47" i="5"/>
  <c r="E46" i="5"/>
  <c r="D46" i="5"/>
  <c r="G45" i="5"/>
  <c r="E45" i="5"/>
  <c r="D45" i="5"/>
  <c r="F44" i="5"/>
  <c r="G46" i="5" l="1"/>
  <c r="E45" i="6"/>
  <c r="D46" i="6"/>
  <c r="G46" i="6"/>
  <c r="E47" i="6"/>
  <c r="G44" i="5"/>
  <c r="E44" i="5"/>
  <c r="E44" i="6"/>
  <c r="D44" i="5"/>
  <c r="D44" i="7"/>
  <c r="E33" i="1"/>
  <c r="H43" i="7"/>
  <c r="H42" i="7"/>
  <c r="H43" i="6"/>
  <c r="H42" i="6"/>
  <c r="H43" i="5"/>
  <c r="H42" i="5"/>
  <c r="H43" i="4"/>
  <c r="H42" i="4"/>
  <c r="P43" i="1"/>
  <c r="F43" i="7" s="1"/>
  <c r="O43" i="1"/>
  <c r="E43" i="4" s="1"/>
  <c r="E43" i="7" s="1"/>
  <c r="O42" i="1"/>
  <c r="E42" i="4" s="1"/>
  <c r="E42" i="7" s="1"/>
  <c r="P42" i="1"/>
  <c r="F42" i="7" s="1"/>
  <c r="D43" i="1"/>
  <c r="D43" i="4" s="1"/>
  <c r="D43" i="7" s="1"/>
  <c r="D42" i="1"/>
  <c r="D42" i="4" s="1"/>
  <c r="D42" i="7" s="1"/>
  <c r="T42" i="1"/>
  <c r="T43" i="1" s="1"/>
  <c r="K4" i="1"/>
  <c r="D51" i="7"/>
  <c r="H51" i="7"/>
  <c r="F51" i="7"/>
  <c r="H50" i="7"/>
  <c r="H49" i="7"/>
  <c r="H48" i="7"/>
  <c r="H41" i="7"/>
  <c r="H40" i="7"/>
  <c r="H39" i="7"/>
  <c r="H38" i="7"/>
  <c r="H37" i="7"/>
  <c r="F37" i="7"/>
  <c r="H36" i="7"/>
  <c r="H35" i="7"/>
  <c r="H34" i="7"/>
  <c r="H33" i="7"/>
  <c r="H32" i="7"/>
  <c r="H31" i="7"/>
  <c r="H30" i="7"/>
  <c r="F30" i="7"/>
  <c r="H29" i="7"/>
  <c r="F29" i="7"/>
  <c r="H28" i="7"/>
  <c r="H27" i="7"/>
  <c r="H26" i="7"/>
  <c r="F26" i="7"/>
  <c r="H25" i="7"/>
  <c r="H24" i="7"/>
  <c r="F24" i="7"/>
  <c r="H23" i="7"/>
  <c r="F23" i="7"/>
  <c r="H22" i="7"/>
  <c r="F22" i="7"/>
  <c r="H21" i="7"/>
  <c r="F21" i="7"/>
  <c r="H20" i="7"/>
  <c r="F20" i="7"/>
  <c r="H19" i="7"/>
  <c r="F19" i="7"/>
  <c r="H18" i="7"/>
  <c r="F18" i="7"/>
  <c r="H17" i="7"/>
  <c r="F17" i="7"/>
  <c r="H16" i="7"/>
  <c r="H15" i="7"/>
  <c r="H14" i="7"/>
  <c r="H13" i="7"/>
  <c r="F13" i="7"/>
  <c r="H12" i="7"/>
  <c r="F12" i="7"/>
  <c r="D51" i="6"/>
  <c r="H51" i="6"/>
  <c r="F51" i="6"/>
  <c r="H50" i="6"/>
  <c r="H49" i="6"/>
  <c r="H48" i="6"/>
  <c r="H41" i="6"/>
  <c r="H40" i="6"/>
  <c r="H39" i="6"/>
  <c r="H38" i="6"/>
  <c r="H37" i="6"/>
  <c r="F37" i="6"/>
  <c r="H36" i="6"/>
  <c r="H35" i="6"/>
  <c r="H34" i="6"/>
  <c r="H33" i="6"/>
  <c r="H32" i="6"/>
  <c r="H31" i="6"/>
  <c r="H30" i="6"/>
  <c r="F30" i="6"/>
  <c r="H29" i="6"/>
  <c r="F29" i="6"/>
  <c r="H28" i="6"/>
  <c r="H27" i="6"/>
  <c r="H26" i="6"/>
  <c r="F26" i="6"/>
  <c r="H25" i="6"/>
  <c r="H24" i="6"/>
  <c r="F24" i="6"/>
  <c r="H23" i="6"/>
  <c r="F23" i="6"/>
  <c r="H22" i="6"/>
  <c r="F22" i="6"/>
  <c r="H21" i="6"/>
  <c r="F21" i="6"/>
  <c r="H20" i="6"/>
  <c r="F20" i="6"/>
  <c r="H19" i="6"/>
  <c r="F19" i="6"/>
  <c r="H18" i="6"/>
  <c r="F18" i="6"/>
  <c r="H17" i="6"/>
  <c r="F17" i="6"/>
  <c r="H16" i="6"/>
  <c r="H15" i="6"/>
  <c r="H14" i="6"/>
  <c r="H13" i="6"/>
  <c r="F13" i="6"/>
  <c r="H12" i="6"/>
  <c r="F12" i="6"/>
  <c r="D51" i="5"/>
  <c r="H51" i="5"/>
  <c r="F51" i="5"/>
  <c r="H50" i="5"/>
  <c r="H49" i="5"/>
  <c r="H48" i="5"/>
  <c r="H41" i="5"/>
  <c r="H40" i="5"/>
  <c r="H39" i="5"/>
  <c r="H38" i="5"/>
  <c r="H37" i="5"/>
  <c r="F37" i="5"/>
  <c r="H36" i="5"/>
  <c r="H35" i="5"/>
  <c r="H34" i="5"/>
  <c r="H33" i="5"/>
  <c r="H32" i="5"/>
  <c r="H31" i="5"/>
  <c r="H30" i="5"/>
  <c r="F30" i="5"/>
  <c r="H29" i="5"/>
  <c r="F29" i="5"/>
  <c r="H28" i="5"/>
  <c r="H27" i="5"/>
  <c r="H26" i="5"/>
  <c r="F26" i="5"/>
  <c r="H25" i="5"/>
  <c r="H24" i="5"/>
  <c r="F24" i="5"/>
  <c r="H23" i="5"/>
  <c r="F23" i="5"/>
  <c r="H22" i="5"/>
  <c r="F22" i="5"/>
  <c r="H21" i="5"/>
  <c r="F21" i="5"/>
  <c r="H20" i="5"/>
  <c r="F20" i="5"/>
  <c r="H19" i="5"/>
  <c r="F19" i="5"/>
  <c r="H18" i="5"/>
  <c r="F18" i="5"/>
  <c r="H17" i="5"/>
  <c r="F17" i="5"/>
  <c r="H16" i="5"/>
  <c r="H15" i="5"/>
  <c r="H14" i="5"/>
  <c r="H13" i="5"/>
  <c r="F13" i="5"/>
  <c r="H12" i="5"/>
  <c r="F12" i="5"/>
  <c r="G51" i="4"/>
  <c r="G51" i="7" s="1"/>
  <c r="G50" i="4"/>
  <c r="G50" i="7" s="1"/>
  <c r="G49" i="4"/>
  <c r="G49" i="7" s="1"/>
  <c r="G48" i="4"/>
  <c r="G48" i="7" s="1"/>
  <c r="G41" i="4"/>
  <c r="G41" i="7" s="1"/>
  <c r="G40" i="4"/>
  <c r="G40" i="7" s="1"/>
  <c r="G39" i="4"/>
  <c r="G39" i="7" s="1"/>
  <c r="G38" i="4"/>
  <c r="G38" i="7" s="1"/>
  <c r="G37" i="4"/>
  <c r="G37" i="7" s="1"/>
  <c r="G36" i="4"/>
  <c r="G36" i="7" s="1"/>
  <c r="G35" i="4"/>
  <c r="G35" i="7" s="1"/>
  <c r="G34" i="4"/>
  <c r="G34" i="7" s="1"/>
  <c r="G33" i="4"/>
  <c r="G33" i="7" s="1"/>
  <c r="G32" i="4"/>
  <c r="G32" i="7" s="1"/>
  <c r="G31" i="4"/>
  <c r="G31" i="7" s="1"/>
  <c r="G30" i="4"/>
  <c r="G30" i="7" s="1"/>
  <c r="G29" i="4"/>
  <c r="G29" i="7" s="1"/>
  <c r="G28" i="4"/>
  <c r="G28" i="7" s="1"/>
  <c r="G27" i="4"/>
  <c r="G27" i="7" s="1"/>
  <c r="G26" i="4"/>
  <c r="G26" i="7" s="1"/>
  <c r="G25" i="4"/>
  <c r="G25" i="7" s="1"/>
  <c r="G24" i="4"/>
  <c r="G24" i="7" s="1"/>
  <c r="G23" i="4"/>
  <c r="G23" i="7" s="1"/>
  <c r="G22" i="4"/>
  <c r="G22" i="7" s="1"/>
  <c r="G21" i="4"/>
  <c r="G21" i="7" s="1"/>
  <c r="G20" i="4"/>
  <c r="G20" i="7" s="1"/>
  <c r="G19" i="4"/>
  <c r="G19" i="7" s="1"/>
  <c r="G18" i="4"/>
  <c r="G18" i="7" s="1"/>
  <c r="G17" i="4"/>
  <c r="G17" i="7" s="1"/>
  <c r="G16" i="4"/>
  <c r="G16" i="7" s="1"/>
  <c r="G15" i="4"/>
  <c r="G15" i="7" s="1"/>
  <c r="G14" i="4"/>
  <c r="G14" i="7" s="1"/>
  <c r="G13" i="4"/>
  <c r="G13" i="7" s="1"/>
  <c r="G12" i="4"/>
  <c r="G12" i="7" s="1"/>
  <c r="H51" i="4"/>
  <c r="F51" i="4"/>
  <c r="E51" i="4"/>
  <c r="E51" i="7" s="1"/>
  <c r="H50" i="4"/>
  <c r="E50" i="4"/>
  <c r="E50" i="7" s="1"/>
  <c r="D50" i="4"/>
  <c r="H49" i="4"/>
  <c r="E49" i="4"/>
  <c r="E49" i="7" s="1"/>
  <c r="D49" i="4"/>
  <c r="H48" i="4"/>
  <c r="E48" i="4"/>
  <c r="E48" i="7" s="1"/>
  <c r="D48" i="4"/>
  <c r="H41" i="4"/>
  <c r="E41" i="4"/>
  <c r="E41" i="7" s="1"/>
  <c r="D41" i="4"/>
  <c r="H40" i="4"/>
  <c r="E40" i="4"/>
  <c r="E40" i="7" s="1"/>
  <c r="D40" i="4"/>
  <c r="D40" i="7" s="1"/>
  <c r="H39" i="4"/>
  <c r="E39" i="4"/>
  <c r="E39" i="7" s="1"/>
  <c r="D39" i="4"/>
  <c r="H38" i="4"/>
  <c r="E38" i="4"/>
  <c r="E38" i="7" s="1"/>
  <c r="D38" i="4"/>
  <c r="D38" i="7" s="1"/>
  <c r="H37" i="4"/>
  <c r="F37" i="4"/>
  <c r="E37" i="4"/>
  <c r="E37" i="7" s="1"/>
  <c r="D37" i="4"/>
  <c r="H36" i="4"/>
  <c r="E36" i="4"/>
  <c r="E36" i="7" s="1"/>
  <c r="D36" i="4"/>
  <c r="D36" i="7" s="1"/>
  <c r="H35" i="4"/>
  <c r="E35" i="4"/>
  <c r="E35" i="7" s="1"/>
  <c r="D35" i="4"/>
  <c r="H34" i="4"/>
  <c r="E34" i="4"/>
  <c r="E34" i="7" s="1"/>
  <c r="D34" i="4"/>
  <c r="D34" i="7" s="1"/>
  <c r="H33" i="4"/>
  <c r="E33" i="4"/>
  <c r="E33" i="7" s="1"/>
  <c r="D33" i="4"/>
  <c r="H32" i="4"/>
  <c r="E32" i="4"/>
  <c r="E32" i="7" s="1"/>
  <c r="D32" i="4"/>
  <c r="D32" i="7" s="1"/>
  <c r="H31" i="4"/>
  <c r="E31" i="4"/>
  <c r="E31" i="7" s="1"/>
  <c r="D31" i="4"/>
  <c r="H30" i="4"/>
  <c r="F30" i="4"/>
  <c r="E30" i="4"/>
  <c r="E30" i="7" s="1"/>
  <c r="D30" i="4"/>
  <c r="D30" i="7" s="1"/>
  <c r="H29" i="4"/>
  <c r="F29" i="4"/>
  <c r="E29" i="4"/>
  <c r="E29" i="7" s="1"/>
  <c r="D29" i="4"/>
  <c r="H28" i="4"/>
  <c r="E28" i="4"/>
  <c r="E28" i="7" s="1"/>
  <c r="D28" i="4"/>
  <c r="D28" i="7" s="1"/>
  <c r="H27" i="4"/>
  <c r="E27" i="4"/>
  <c r="E27" i="7" s="1"/>
  <c r="D27" i="4"/>
  <c r="H26" i="4"/>
  <c r="F26" i="4"/>
  <c r="E26" i="4"/>
  <c r="E26" i="7" s="1"/>
  <c r="D26" i="4"/>
  <c r="D26" i="7" s="1"/>
  <c r="H25" i="4"/>
  <c r="E25" i="4"/>
  <c r="E25" i="7" s="1"/>
  <c r="D25" i="4"/>
  <c r="H24" i="4"/>
  <c r="F24" i="4"/>
  <c r="E24" i="4"/>
  <c r="E24" i="7" s="1"/>
  <c r="D24" i="4"/>
  <c r="D24" i="7" s="1"/>
  <c r="H23" i="4"/>
  <c r="F23" i="4"/>
  <c r="E23" i="4"/>
  <c r="E23" i="7" s="1"/>
  <c r="D23" i="4"/>
  <c r="H22" i="4"/>
  <c r="F22" i="4"/>
  <c r="E22" i="4"/>
  <c r="E22" i="7" s="1"/>
  <c r="D22" i="4"/>
  <c r="D22" i="7" s="1"/>
  <c r="H21" i="4"/>
  <c r="F21" i="4"/>
  <c r="E21" i="4"/>
  <c r="E21" i="7" s="1"/>
  <c r="D21" i="4"/>
  <c r="H20" i="4"/>
  <c r="F20" i="4"/>
  <c r="E20" i="4"/>
  <c r="E20" i="7" s="1"/>
  <c r="D20" i="4"/>
  <c r="D20" i="7" s="1"/>
  <c r="H19" i="4"/>
  <c r="F19" i="4"/>
  <c r="E19" i="4"/>
  <c r="E19" i="7" s="1"/>
  <c r="D19" i="4"/>
  <c r="H18" i="4"/>
  <c r="F18" i="4"/>
  <c r="E18" i="4"/>
  <c r="E18" i="7" s="1"/>
  <c r="D18" i="4"/>
  <c r="D18" i="7" s="1"/>
  <c r="H17" i="4"/>
  <c r="F17" i="4"/>
  <c r="E17" i="4"/>
  <c r="E17" i="7" s="1"/>
  <c r="D17" i="4"/>
  <c r="H16" i="4"/>
  <c r="E16" i="4"/>
  <c r="E16" i="7" s="1"/>
  <c r="D16" i="4"/>
  <c r="D16" i="7" s="1"/>
  <c r="H15" i="4"/>
  <c r="E15" i="4"/>
  <c r="E15" i="7" s="1"/>
  <c r="D15" i="4"/>
  <c r="H14" i="4"/>
  <c r="E14" i="4"/>
  <c r="E14" i="7" s="1"/>
  <c r="D14" i="4"/>
  <c r="D14" i="7" s="1"/>
  <c r="H13" i="4"/>
  <c r="F13" i="4"/>
  <c r="E13" i="4"/>
  <c r="E13" i="7" s="1"/>
  <c r="D13" i="4"/>
  <c r="D13" i="7" s="1"/>
  <c r="H12" i="4"/>
  <c r="E12" i="4"/>
  <c r="E12" i="7" s="1"/>
  <c r="F12" i="4"/>
  <c r="D12" i="4"/>
  <c r="D12" i="7" s="1"/>
  <c r="E39" i="1"/>
  <c r="F39" i="1" s="1"/>
  <c r="F39" i="6" s="1"/>
  <c r="E34" i="1"/>
  <c r="E35" i="1" s="1"/>
  <c r="F33" i="1"/>
  <c r="F33" i="6" s="1"/>
  <c r="I33" i="1"/>
  <c r="J33" i="1" s="1"/>
  <c r="I36" i="1"/>
  <c r="J36" i="1" s="1"/>
  <c r="I35" i="1"/>
  <c r="J35" i="1" s="1"/>
  <c r="E38" i="1"/>
  <c r="F38" i="1" s="1"/>
  <c r="F38" i="6" s="1"/>
  <c r="E41" i="1"/>
  <c r="F41" i="1" s="1"/>
  <c r="F41" i="6" s="1"/>
  <c r="E50" i="1"/>
  <c r="F50" i="1" s="1"/>
  <c r="E49" i="1"/>
  <c r="F49" i="1" s="1"/>
  <c r="E48" i="1"/>
  <c r="F48" i="1" s="1"/>
  <c r="E40" i="1"/>
  <c r="F40" i="1" s="1"/>
  <c r="F40" i="6" s="1"/>
  <c r="E15" i="1"/>
  <c r="F15" i="1" s="1"/>
  <c r="F15" i="6" s="1"/>
  <c r="E14" i="1"/>
  <c r="F14" i="1" s="1"/>
  <c r="F14" i="6" s="1"/>
  <c r="B35" i="1"/>
  <c r="B36" i="1" s="1"/>
  <c r="E32" i="1"/>
  <c r="F32" i="1" s="1"/>
  <c r="F32" i="6" s="1"/>
  <c r="E31" i="1"/>
  <c r="F31" i="1" s="1"/>
  <c r="F31" i="6" s="1"/>
  <c r="E28" i="1"/>
  <c r="F28" i="1" s="1"/>
  <c r="F28" i="6" s="1"/>
  <c r="E27" i="1"/>
  <c r="F27" i="1" s="1"/>
  <c r="F27" i="6" s="1"/>
  <c r="H33" i="1"/>
  <c r="F25" i="1"/>
  <c r="F25" i="7" s="1"/>
  <c r="F16" i="1"/>
  <c r="F16" i="7" s="1"/>
  <c r="E16" i="1"/>
  <c r="F34" i="1" l="1"/>
  <c r="F34" i="6" s="1"/>
  <c r="F48" i="6"/>
  <c r="F45" i="7"/>
  <c r="F45" i="6"/>
  <c r="F45" i="5"/>
  <c r="F50" i="6"/>
  <c r="F47" i="6"/>
  <c r="F47" i="7"/>
  <c r="F47" i="5"/>
  <c r="F16" i="6"/>
  <c r="F25" i="6"/>
  <c r="F43" i="4"/>
  <c r="F49" i="6"/>
  <c r="F46" i="7"/>
  <c r="F46" i="6"/>
  <c r="F46" i="5"/>
  <c r="F16" i="4"/>
  <c r="F25" i="4"/>
  <c r="F16" i="5"/>
  <c r="F25" i="5"/>
  <c r="G42" i="4"/>
  <c r="G42" i="7" s="1"/>
  <c r="F42" i="4"/>
  <c r="G43" i="4"/>
  <c r="G43" i="7" s="1"/>
  <c r="F42" i="5"/>
  <c r="F43" i="5"/>
  <c r="F42" i="6"/>
  <c r="F43" i="6"/>
  <c r="E42" i="5"/>
  <c r="G42" i="5"/>
  <c r="D43" i="5"/>
  <c r="E42" i="6"/>
  <c r="D43" i="6"/>
  <c r="D42" i="5"/>
  <c r="E43" i="5"/>
  <c r="D42" i="6"/>
  <c r="E43" i="6"/>
  <c r="G43" i="6"/>
  <c r="D17" i="6"/>
  <c r="D17" i="7"/>
  <c r="D19" i="6"/>
  <c r="D19" i="7"/>
  <c r="D21" i="6"/>
  <c r="D21" i="7"/>
  <c r="D23" i="6"/>
  <c r="D23" i="7"/>
  <c r="D25" i="6"/>
  <c r="D25" i="7"/>
  <c r="D27" i="6"/>
  <c r="D27" i="7"/>
  <c r="D29" i="6"/>
  <c r="D29" i="7"/>
  <c r="D31" i="6"/>
  <c r="D31" i="7"/>
  <c r="D33" i="6"/>
  <c r="D33" i="7"/>
  <c r="D35" i="6"/>
  <c r="D35" i="7"/>
  <c r="D37" i="6"/>
  <c r="D37" i="7"/>
  <c r="D49" i="7"/>
  <c r="D49" i="6"/>
  <c r="D12" i="5"/>
  <c r="D14" i="5"/>
  <c r="D16" i="5"/>
  <c r="D18" i="5"/>
  <c r="D20" i="5"/>
  <c r="D22" i="5"/>
  <c r="D24" i="5"/>
  <c r="D26" i="5"/>
  <c r="D28" i="5"/>
  <c r="D30" i="5"/>
  <c r="D32" i="5"/>
  <c r="D34" i="5"/>
  <c r="D36" i="5"/>
  <c r="D38" i="5"/>
  <c r="D40" i="5"/>
  <c r="D49" i="5"/>
  <c r="E13" i="5"/>
  <c r="E15" i="5"/>
  <c r="E17" i="5"/>
  <c r="E19" i="5"/>
  <c r="E21" i="5"/>
  <c r="E23" i="5"/>
  <c r="E25" i="5"/>
  <c r="E27" i="5"/>
  <c r="E29" i="5"/>
  <c r="E31" i="5"/>
  <c r="E33" i="5"/>
  <c r="E35" i="5"/>
  <c r="E37" i="5"/>
  <c r="E39" i="5"/>
  <c r="E41" i="5"/>
  <c r="E48" i="5"/>
  <c r="E50" i="5"/>
  <c r="G12" i="5"/>
  <c r="G14" i="5"/>
  <c r="G16" i="5"/>
  <c r="G18" i="5"/>
  <c r="G20" i="5"/>
  <c r="G22" i="5"/>
  <c r="G24" i="5"/>
  <c r="G26" i="5"/>
  <c r="G28" i="5"/>
  <c r="G30" i="5"/>
  <c r="G32" i="5"/>
  <c r="G34" i="5"/>
  <c r="G36" i="5"/>
  <c r="G38" i="5"/>
  <c r="G40" i="5"/>
  <c r="G49" i="5"/>
  <c r="G51" i="5"/>
  <c r="G14" i="6"/>
  <c r="E15" i="6"/>
  <c r="G27" i="6"/>
  <c r="E28" i="6"/>
  <c r="G31" i="6"/>
  <c r="E32" i="6"/>
  <c r="G33" i="6"/>
  <c r="E34" i="6"/>
  <c r="G35" i="6"/>
  <c r="E36" i="6"/>
  <c r="G38" i="6"/>
  <c r="E39" i="6"/>
  <c r="G40" i="6"/>
  <c r="E41" i="6"/>
  <c r="E48" i="6"/>
  <c r="G49" i="6"/>
  <c r="E50" i="6"/>
  <c r="D13" i="6"/>
  <c r="D16" i="6"/>
  <c r="D20" i="6"/>
  <c r="D24" i="6"/>
  <c r="D28" i="6"/>
  <c r="D32" i="6"/>
  <c r="D36" i="6"/>
  <c r="D40" i="6"/>
  <c r="D15" i="6"/>
  <c r="D15" i="7"/>
  <c r="D39" i="6"/>
  <c r="D39" i="7"/>
  <c r="D41" i="6"/>
  <c r="D41" i="7"/>
  <c r="D48" i="6"/>
  <c r="D48" i="7"/>
  <c r="D50" i="6"/>
  <c r="D50" i="7"/>
  <c r="D13" i="5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8" i="5"/>
  <c r="D50" i="5"/>
  <c r="E12" i="5"/>
  <c r="E14" i="5"/>
  <c r="E16" i="5"/>
  <c r="E18" i="5"/>
  <c r="E20" i="5"/>
  <c r="E22" i="5"/>
  <c r="E24" i="5"/>
  <c r="E26" i="5"/>
  <c r="E28" i="5"/>
  <c r="E30" i="5"/>
  <c r="E32" i="5"/>
  <c r="E34" i="5"/>
  <c r="E36" i="5"/>
  <c r="E38" i="5"/>
  <c r="E40" i="5"/>
  <c r="E49" i="5"/>
  <c r="E51" i="5"/>
  <c r="G13" i="5"/>
  <c r="G15" i="5"/>
  <c r="G17" i="5"/>
  <c r="G19" i="5"/>
  <c r="G21" i="5"/>
  <c r="G23" i="5"/>
  <c r="G25" i="5"/>
  <c r="G27" i="5"/>
  <c r="G29" i="5"/>
  <c r="G31" i="5"/>
  <c r="G33" i="5"/>
  <c r="G35" i="5"/>
  <c r="G37" i="5"/>
  <c r="G39" i="5"/>
  <c r="G41" i="5"/>
  <c r="G48" i="5"/>
  <c r="G50" i="5"/>
  <c r="E12" i="6"/>
  <c r="G12" i="6"/>
  <c r="E13" i="6"/>
  <c r="G13" i="6"/>
  <c r="E14" i="6"/>
  <c r="G15" i="6"/>
  <c r="E16" i="6"/>
  <c r="G16" i="6"/>
  <c r="E17" i="6"/>
  <c r="G17" i="6"/>
  <c r="E18" i="6"/>
  <c r="G18" i="6"/>
  <c r="E19" i="6"/>
  <c r="G19" i="6"/>
  <c r="E20" i="6"/>
  <c r="G20" i="6"/>
  <c r="E21" i="6"/>
  <c r="G21" i="6"/>
  <c r="E22" i="6"/>
  <c r="G22" i="6"/>
  <c r="E23" i="6"/>
  <c r="G23" i="6"/>
  <c r="E24" i="6"/>
  <c r="G24" i="6"/>
  <c r="E25" i="6"/>
  <c r="G25" i="6"/>
  <c r="E26" i="6"/>
  <c r="G26" i="6"/>
  <c r="E27" i="6"/>
  <c r="G28" i="6"/>
  <c r="E29" i="6"/>
  <c r="G29" i="6"/>
  <c r="E30" i="6"/>
  <c r="G30" i="6"/>
  <c r="E31" i="6"/>
  <c r="G32" i="6"/>
  <c r="E33" i="6"/>
  <c r="G34" i="6"/>
  <c r="E35" i="6"/>
  <c r="G36" i="6"/>
  <c r="E37" i="6"/>
  <c r="G37" i="6"/>
  <c r="E38" i="6"/>
  <c r="G39" i="6"/>
  <c r="E40" i="6"/>
  <c r="G41" i="6"/>
  <c r="G48" i="6"/>
  <c r="E49" i="6"/>
  <c r="G50" i="6"/>
  <c r="E51" i="6"/>
  <c r="G51" i="6"/>
  <c r="D12" i="6"/>
  <c r="D14" i="6"/>
  <c r="D18" i="6"/>
  <c r="D22" i="6"/>
  <c r="D26" i="6"/>
  <c r="D30" i="6"/>
  <c r="D34" i="6"/>
  <c r="D38" i="6"/>
  <c r="F14" i="7"/>
  <c r="F15" i="7"/>
  <c r="F27" i="7"/>
  <c r="F28" i="7"/>
  <c r="F31" i="7"/>
  <c r="F32" i="7"/>
  <c r="F33" i="7"/>
  <c r="F34" i="7"/>
  <c r="F38" i="7"/>
  <c r="F39" i="7"/>
  <c r="F40" i="7"/>
  <c r="F41" i="7"/>
  <c r="F48" i="7"/>
  <c r="F49" i="7"/>
  <c r="F50" i="7"/>
  <c r="F14" i="4"/>
  <c r="F15" i="4"/>
  <c r="F27" i="4"/>
  <c r="F28" i="4"/>
  <c r="F31" i="4"/>
  <c r="F32" i="4"/>
  <c r="F33" i="4"/>
  <c r="F34" i="4"/>
  <c r="F38" i="4"/>
  <c r="F39" i="4"/>
  <c r="F40" i="4"/>
  <c r="F41" i="4"/>
  <c r="F48" i="4"/>
  <c r="F49" i="4"/>
  <c r="F50" i="4"/>
  <c r="F14" i="5"/>
  <c r="F15" i="5"/>
  <c r="F27" i="5"/>
  <c r="F28" i="5"/>
  <c r="F31" i="5"/>
  <c r="F32" i="5"/>
  <c r="F33" i="5"/>
  <c r="F34" i="5"/>
  <c r="F38" i="5"/>
  <c r="F39" i="5"/>
  <c r="F40" i="5"/>
  <c r="F41" i="5"/>
  <c r="F48" i="5"/>
  <c r="F49" i="5"/>
  <c r="F50" i="5"/>
  <c r="E36" i="1"/>
  <c r="F36" i="1" s="1"/>
  <c r="F35" i="1"/>
  <c r="G43" i="5" l="1"/>
  <c r="G42" i="6"/>
  <c r="F36" i="6"/>
  <c r="F36" i="5"/>
  <c r="F36" i="4"/>
  <c r="F36" i="7"/>
  <c r="F35" i="6"/>
  <c r="F35" i="5"/>
  <c r="F35" i="4"/>
  <c r="F35" i="7"/>
</calcChain>
</file>

<file path=xl/sharedStrings.xml><?xml version="1.0" encoding="utf-8"?>
<sst xmlns="http://schemas.openxmlformats.org/spreadsheetml/2006/main" count="513" uniqueCount="153">
  <si>
    <t>PM5C11A</t>
  </si>
  <si>
    <t>TAGGON</t>
  </si>
  <si>
    <t>HDTAGG</t>
  </si>
  <si>
    <t>TAGGER MAGNET</t>
  </si>
  <si>
    <t>HODPL1</t>
  </si>
  <si>
    <t>HODPL2</t>
  </si>
  <si>
    <t>HODPL3</t>
  </si>
  <si>
    <t>HODPL4</t>
  </si>
  <si>
    <t>HODPL5</t>
  </si>
  <si>
    <t>HODPL6</t>
  </si>
  <si>
    <t>HODPL7</t>
  </si>
  <si>
    <t>HODPL8</t>
  </si>
  <si>
    <t>TAGRAD</t>
  </si>
  <si>
    <t>X</t>
  </si>
  <si>
    <t>Y</t>
  </si>
  <si>
    <t>HDFCAL</t>
  </si>
  <si>
    <t>HDFTOF</t>
  </si>
  <si>
    <t>HD_CDC</t>
  </si>
  <si>
    <t>COMTAR</t>
  </si>
  <si>
    <t>HDSTRT</t>
  </si>
  <si>
    <t>HGDETR</t>
  </si>
  <si>
    <t>HGDETL</t>
  </si>
  <si>
    <t>HDPRSP</t>
  </si>
  <si>
    <t>HDPBHA</t>
  </si>
  <si>
    <t>HDSOL_</t>
  </si>
  <si>
    <t>PM5C11C</t>
  </si>
  <si>
    <t>MCOAD01</t>
  </si>
  <si>
    <t>MCOAD02</t>
  </si>
  <si>
    <t>MSWAD01</t>
  </si>
  <si>
    <t>MSWAD02</t>
  </si>
  <si>
    <t>DISCRIPTION</t>
  </si>
  <si>
    <t>COMPONENT</t>
  </si>
  <si>
    <t>Z</t>
  </si>
  <si>
    <t>YAW</t>
  </si>
  <si>
    <t>PITCH</t>
  </si>
  <si>
    <t>ROLL</t>
  </si>
  <si>
    <t xml:space="preserve">YAW </t>
  </si>
  <si>
    <t>DELTA ANGLE (DEG)</t>
  </si>
  <si>
    <t>V WIRE</t>
  </si>
  <si>
    <t>H WIRE</t>
  </si>
  <si>
    <t>TGT1</t>
  </si>
  <si>
    <t>TGT2</t>
  </si>
  <si>
    <t>TGT3</t>
  </si>
  <si>
    <t>HDMICR</t>
  </si>
  <si>
    <t>TAGGER MICROSCOPE US CENTER</t>
  </si>
  <si>
    <t>COLLIMATOR CAVE PROFILER</t>
  </si>
  <si>
    <t>HDBCAL</t>
  </si>
  <si>
    <t xml:space="preserve"> </t>
  </si>
  <si>
    <t>MACHINE COORDINATE USED FOR IDEAL(M)</t>
  </si>
  <si>
    <t>ENCODER/STEP COUNT</t>
  </si>
  <si>
    <t>BPMBOX US TAGGER SHIELD WALL</t>
  </si>
  <si>
    <t>BPMBOX DS TAGGER SHIELD WALL</t>
  </si>
  <si>
    <t>TAGGER GONIOMETER</t>
  </si>
  <si>
    <t>AMORPHOUS RADIATOR</t>
  </si>
  <si>
    <t>COLLIMATOR CAVE PIN HOLE COLLIMATOR</t>
  </si>
  <si>
    <t>COLLIMATOR CAVE 2ND COLLIMATOR</t>
  </si>
  <si>
    <t>COLLIMATOR CAVE SWEEPER MAGNET 1</t>
  </si>
  <si>
    <t>COLLIMATOR CAVE SWEEPER MAGNET 2</t>
  </si>
  <si>
    <t>PHOTON BEAM HARP</t>
  </si>
  <si>
    <t>PAIR SPECTROMETER MAGNET</t>
  </si>
  <si>
    <t>RIGHT HIGH GRANULARITY DETECTOR</t>
  </si>
  <si>
    <t>LEFT HIGH GRANULARITY DETECTOR</t>
  </si>
  <si>
    <t>RIGHT LOW GRANULARITY DET USBL</t>
  </si>
  <si>
    <t>LEFT LOW GRANULARITY DET USBR</t>
  </si>
  <si>
    <t>CENTER HALL PROFILER (TEMP)</t>
  </si>
  <si>
    <t>SOLENOID (GEOMETRIC CENTER)</t>
  </si>
  <si>
    <t>BARREL CALORIMETER (Sept 2013)</t>
  </si>
  <si>
    <t>COMMISIONING TARGET</t>
  </si>
  <si>
    <t>CENTRAL DRIFT CHAMBER</t>
  </si>
  <si>
    <t>FORWARD CALORIMETER</t>
  </si>
  <si>
    <t>FORWARD TIME OF FLIGHT</t>
  </si>
  <si>
    <t>DS HALL PROFILER</t>
  </si>
  <si>
    <t>LINE/HALL D SEPT 2014 SURVEY REPORT</t>
  </si>
  <si>
    <t>Note: The as set offsets are relative to the machine coordinate used for alignment.  A +X is to the beam left, +Z is downstream, +Y is above.  A + yaw angle is ccw looking from above, a + pitch angle is ccw looking from the beam right side, and a + roll angle is cw looking from upstream.</t>
  </si>
  <si>
    <t>Z mm</t>
  </si>
  <si>
    <t>X mm</t>
  </si>
  <si>
    <t>Y mm</t>
  </si>
  <si>
    <t>AS SET OFFSETS BEAM FOLLOWING</t>
  </si>
  <si>
    <t>HODOSCOPE PLT1 US BR TOP</t>
  </si>
  <si>
    <t>HODOSCOPE PLT2 US BR TOP</t>
  </si>
  <si>
    <t>HODOSCOPE PLT3 US BR TOP</t>
  </si>
  <si>
    <t>HODOSCOPE PLT4 US BR TOP</t>
  </si>
  <si>
    <t>HODOSCOPE PLT5 US BR TOP</t>
  </si>
  <si>
    <t>HODOSCOPE PLT6 US BR TOP</t>
  </si>
  <si>
    <t>HODOSCOPE PLT7 US BR TOP</t>
  </si>
  <si>
    <t>HODOSCOPE PLT8 US BR TOP</t>
  </si>
  <si>
    <t>START COUNTER US FACE US FLANGE</t>
  </si>
  <si>
    <t>Hall D 0,0 point</t>
  </si>
  <si>
    <t>dwg dim Z</t>
  </si>
  <si>
    <t>delta(mm)</t>
  </si>
  <si>
    <t>MACHINE COORDINATE(M)</t>
  </si>
  <si>
    <t>LGDETL</t>
  </si>
  <si>
    <t>LGDETR</t>
  </si>
  <si>
    <t>Sol center</t>
  </si>
  <si>
    <t>TAGGER MAGNET (pole center)</t>
  </si>
  <si>
    <t>Note: The as set offsets are relative to the machine coordinate used for alignment.  A +X is to the beam left, +Z is downstream, +Y is above.  A + yaw angle is ccw looking from above, a + pitch angle is ccw looking from the beam right side, and a + roll angle is cw looking from upstream. All coordinates are to the component center unless otherwise specified.</t>
  </si>
  <si>
    <t>START COUNTER US SCINTILLATOR</t>
  </si>
  <si>
    <t>START COUNTER DS SCINTILLATOR</t>
  </si>
  <si>
    <t>START COUNTER US FACE SCINTILLATOR</t>
  </si>
  <si>
    <t>START COUNTER DS FACESCINTILLATOR</t>
  </si>
  <si>
    <t>TAGGER GONIOMETER - center of upstream face of frame</t>
  </si>
  <si>
    <t>AMORPHOUS RADIATOR - center of wire and targets</t>
  </si>
  <si>
    <t>TAGGER MAGNET - center of pole</t>
  </si>
  <si>
    <t>HODOSCOPE PLT1 US BR TOP corner of plate - see dwgs D00000-19-01-2003 - 2010 for scint. Locations</t>
  </si>
  <si>
    <t>COLLIMATOR CAVE PROFILER center of US face</t>
  </si>
  <si>
    <t>COLLIMATOR CAVE PIN HOLE COLLIMATOR - center of block in X,Y and Z</t>
  </si>
  <si>
    <t>COLLIMATOR CAVE 2ND COLLIMATOR - center of block in X,Y and Z</t>
  </si>
  <si>
    <t>PHOTON BEAM HARP - center of wire and targets in Pair convertor</t>
  </si>
  <si>
    <t>PAIR SPECTROMETER MAGNET - center of magnet steel</t>
  </si>
  <si>
    <t>TAGGER MICROSCOPE US CENTER face of 1st scintillator 1/2 bundle (15 fibers, 3x5 array)</t>
  </si>
  <si>
    <t>CENTER HALL PROFILER (TEMP) - center of ustream face</t>
  </si>
  <si>
    <t>DS HALL PROFILER - center of ustream face</t>
  </si>
  <si>
    <t>COMMISIONING TARGET - center of downstream face of target plug</t>
  </si>
  <si>
    <t>START COUNTER US FACE US FLANGE - just a reference</t>
  </si>
  <si>
    <t>START COUNTER US FACE SCINTILLATOR - center of upstream edge of scintillator</t>
  </si>
  <si>
    <t>START COUNTER DS FACESCINTILLATOR - center of downstream edge of scintillator</t>
  </si>
  <si>
    <t>CENTRAL DRIFT CHAMBER - center of active area of detector</t>
  </si>
  <si>
    <t>FORWARD CALORIMETER - center of upstream face of lead/glass blocks</t>
  </si>
  <si>
    <t>FORWARD TIME OF FLIGHT - center of upstream face of scintilaator</t>
  </si>
  <si>
    <t>BARREL CALORIMETER (Sept 2013) - geometric center of barrel</t>
  </si>
  <si>
    <t>RIGHT HIGH GRANULARITY DETECTOR - geometric center of scintillator cluster</t>
  </si>
  <si>
    <t>LEFT HIGH GRANULARITY DETECTOR - geometric center of scintillator cluster</t>
  </si>
  <si>
    <t>RIGHT LOW GRANULARITY DET USBL - inner upstream edge of 1st counter</t>
  </si>
  <si>
    <t>LEFT LOW GRANULARITY DET USBR - inner upstream edge of 1st counter (see dwg D000000000-1002)</t>
  </si>
  <si>
    <t>FDC Package 1 center</t>
  </si>
  <si>
    <t>FDC Package 2 center</t>
  </si>
  <si>
    <t>FDC Package 3 center</t>
  </si>
  <si>
    <t>FDC Package 4 center</t>
  </si>
  <si>
    <t>FDC Packages</t>
  </si>
  <si>
    <t>1US</t>
  </si>
  <si>
    <t>1DS</t>
  </si>
  <si>
    <t>2US</t>
  </si>
  <si>
    <t>2DS</t>
  </si>
  <si>
    <t>3US</t>
  </si>
  <si>
    <t>3DS</t>
  </si>
  <si>
    <t>4US</t>
  </si>
  <si>
    <t>4DS</t>
  </si>
  <si>
    <t>y</t>
  </si>
  <si>
    <t>z</t>
  </si>
  <si>
    <t>x (m)</t>
  </si>
  <si>
    <t>data for outside surface of aluminum flange</t>
  </si>
  <si>
    <t>longer than dwg</t>
  </si>
  <si>
    <t>width of package 1</t>
  </si>
  <si>
    <t>width of package 3</t>
  </si>
  <si>
    <t>width of package 2</t>
  </si>
  <si>
    <t>width of package 4</t>
  </si>
  <si>
    <t>ave FDC package length</t>
  </si>
  <si>
    <t>nominal per dwg</t>
  </si>
  <si>
    <t>mm longer per package</t>
  </si>
  <si>
    <t>FDC Package 1 center based on bisect of US and DS stiffening ring on each package with 0A in solenoid</t>
  </si>
  <si>
    <t>FDC Package 2 center based on bisect of US and DS stiffening ring on each package with 0A in solenoid</t>
  </si>
  <si>
    <t>FDC Package 3 center based on bisect of US and DS stiffening ring on each package with 0A in solenoid</t>
  </si>
  <si>
    <t>FDC Package 4 center based on bisect of US and DS stiffening ring on each package with 0A in solenoid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</si>
</sst>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Alignme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361950</xdr:colOff>
          <xdr:row>0</xdr:row>
          <xdr:rowOff>38100</xdr:rowOff>
        </xdr:from>
        <xdr:to>
          <xdr:col>22</xdr:col>
          <xdr:colOff>590550</xdr:colOff>
          <xdr:row>30</xdr:row>
          <xdr:rowOff>152400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371475</xdr:colOff>
      <xdr:row>31</xdr:row>
      <xdr:rowOff>0</xdr:rowOff>
    </xdr:from>
    <xdr:to>
      <xdr:col>22</xdr:col>
      <xdr:colOff>600075</xdr:colOff>
      <xdr:row>64</xdr:row>
      <xdr:rowOff>114300</xdr:rowOff>
    </xdr:to>
    <xdr:grpSp>
      <xdr:nvGrpSpPr>
        <xdr:cNvPr id="2056" name="Group 8"/>
        <xdr:cNvGrpSpPr>
          <a:grpSpLocks noChangeAspect="1"/>
        </xdr:cNvGrpSpPr>
      </xdr:nvGrpSpPr>
      <xdr:grpSpPr bwMode="auto">
        <a:xfrm rot="-5400000">
          <a:off x="7038975" y="5334000"/>
          <a:ext cx="6400800" cy="7543800"/>
          <a:chOff x="320" y="660"/>
          <a:chExt cx="612" cy="792"/>
        </a:xfrm>
      </xdr:grpSpPr>
      <xdr:sp macro="" textlink="">
        <xdr:nvSpPr>
          <xdr:cNvPr id="2055" name="AutoShape 7"/>
          <xdr:cNvSpPr>
            <a:spLocks noChangeAspect="1" noChangeArrowheads="1" noTextEdit="1"/>
          </xdr:cNvSpPr>
        </xdr:nvSpPr>
        <xdr:spPr bwMode="auto">
          <a:xfrm>
            <a:off x="320" y="660"/>
            <a:ext cx="612" cy="79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none" w="med" len="med"/>
            <a:tailEnd type="none" w="med" len="med"/>
          </a:ln>
        </xdr:spPr>
      </xdr:sp>
      <xdr:pic>
        <xdr:nvPicPr>
          <xdr:cNvPr id="8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0" y="660"/>
            <a:ext cx="612" cy="7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419100</xdr:colOff>
      <xdr:row>39</xdr:row>
      <xdr:rowOff>104775</xdr:rowOff>
    </xdr:from>
    <xdr:to>
      <xdr:col>9</xdr:col>
      <xdr:colOff>361950</xdr:colOff>
      <xdr:row>71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64" r="1893"/>
        <a:stretch/>
      </xdr:blipFill>
      <xdr:spPr bwMode="auto">
        <a:xfrm>
          <a:off x="419100" y="6962775"/>
          <a:ext cx="5429250" cy="6124575"/>
        </a:xfrm>
        <a:prstGeom prst="rect">
          <a:avLst/>
        </a:prstGeom>
        <a:noFill/>
        <a:ln>
          <a:noFill/>
        </a:ln>
        <a:scene3d>
          <a:camera prst="orthographicFront">
            <a:rot lat="0" lon="0" rev="552000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topLeftCell="A14" workbookViewId="0">
      <selection activeCell="M47" sqref="M47"/>
    </sheetView>
  </sheetViews>
  <sheetFormatPr defaultRowHeight="15" x14ac:dyDescent="0.25"/>
  <cols>
    <col min="1" max="1" width="38" style="4" customWidth="1"/>
    <col min="2" max="2" width="12.5703125" style="4" customWidth="1"/>
    <col min="3" max="3" width="2" style="4" customWidth="1"/>
    <col min="4" max="4" width="11.85546875" style="4" customWidth="1"/>
    <col min="5" max="5" width="13.85546875" style="4" bestFit="1" customWidth="1"/>
    <col min="6" max="6" width="11.85546875" style="4" hidden="1" customWidth="1"/>
    <col min="7" max="7" width="11.140625" style="4" customWidth="1"/>
    <col min="8" max="10" width="9.140625" style="4"/>
    <col min="11" max="11" width="2.140625" style="4" customWidth="1"/>
    <col min="12" max="16384" width="9.140625" style="4"/>
  </cols>
  <sheetData>
    <row r="1" spans="1:16" x14ac:dyDescent="0.25">
      <c r="A1" s="4" t="s">
        <v>72</v>
      </c>
    </row>
    <row r="2" spans="1:16" x14ac:dyDescent="0.25">
      <c r="A2" s="12" t="s">
        <v>73</v>
      </c>
      <c r="B2" s="12"/>
      <c r="C2" s="12"/>
      <c r="D2" s="12"/>
    </row>
    <row r="3" spans="1:16" x14ac:dyDescent="0.25">
      <c r="A3" s="12"/>
      <c r="B3" s="12"/>
      <c r="C3" s="12"/>
      <c r="D3" s="12"/>
    </row>
    <row r="4" spans="1:16" x14ac:dyDescent="0.25">
      <c r="A4" s="12"/>
      <c r="B4" s="12"/>
      <c r="C4" s="12"/>
      <c r="D4" s="12"/>
    </row>
    <row r="5" spans="1:16" x14ac:dyDescent="0.25">
      <c r="A5" s="13"/>
      <c r="B5" s="13"/>
      <c r="C5" s="13"/>
      <c r="D5" s="13"/>
    </row>
    <row r="10" spans="1:16" x14ac:dyDescent="0.25">
      <c r="A10" s="8" t="s">
        <v>30</v>
      </c>
      <c r="B10" s="6" t="s">
        <v>31</v>
      </c>
      <c r="C10" s="6"/>
      <c r="D10" s="6" t="s">
        <v>90</v>
      </c>
      <c r="E10" s="6"/>
      <c r="F10" s="6"/>
      <c r="G10" s="6"/>
      <c r="I10" s="8" t="s">
        <v>37</v>
      </c>
      <c r="K10" s="6"/>
      <c r="L10" s="14" t="s">
        <v>49</v>
      </c>
      <c r="M10" s="14"/>
      <c r="N10" s="14"/>
      <c r="O10" s="14"/>
      <c r="P10" s="14"/>
    </row>
    <row r="11" spans="1:16" x14ac:dyDescent="0.25">
      <c r="D11" s="6" t="s">
        <v>32</v>
      </c>
      <c r="E11" s="6" t="s">
        <v>13</v>
      </c>
      <c r="F11" s="6"/>
      <c r="G11" s="6" t="s">
        <v>14</v>
      </c>
      <c r="H11" s="6" t="s">
        <v>36</v>
      </c>
      <c r="I11" s="6" t="s">
        <v>34</v>
      </c>
      <c r="J11" s="6" t="s">
        <v>35</v>
      </c>
      <c r="K11" s="6"/>
      <c r="L11" s="6" t="s">
        <v>38</v>
      </c>
      <c r="M11" s="6" t="s">
        <v>39</v>
      </c>
      <c r="N11" s="6" t="s">
        <v>40</v>
      </c>
      <c r="O11" s="6" t="s">
        <v>41</v>
      </c>
      <c r="P11" s="6" t="s">
        <v>42</v>
      </c>
    </row>
    <row r="12" spans="1:16" x14ac:dyDescent="0.25">
      <c r="A12" s="4" t="s">
        <v>50</v>
      </c>
      <c r="B12" s="4" t="s">
        <v>0</v>
      </c>
      <c r="D12" s="2">
        <f>'data from JD'!D12+'data from JD'!N12/1000</f>
        <v>283.51403999999997</v>
      </c>
      <c r="E12" s="2">
        <f>'data from JD'!G12+'data from JD'!O12/1000</f>
        <v>80.599909999999994</v>
      </c>
      <c r="F12" s="2">
        <f>'data from JD'!F12+'data from JD'!P12/1000</f>
        <v>1.84E-4</v>
      </c>
      <c r="G12" s="2">
        <f>'data from JD'!K12+'data from JD'!P12/1000</f>
        <v>104.70018400000001</v>
      </c>
      <c r="H12" s="2">
        <f>'data from JD'!L12+'data from JD'!R12</f>
        <v>-3.4399999999999999E-3</v>
      </c>
      <c r="I12" s="3">
        <v>-8.0199999999999994E-3</v>
      </c>
      <c r="J12" s="3">
        <v>2.0049999999999998E-2</v>
      </c>
    </row>
    <row r="13" spans="1:16" x14ac:dyDescent="0.25">
      <c r="A13" s="4" t="s">
        <v>51</v>
      </c>
      <c r="B13" s="4" t="s">
        <v>25</v>
      </c>
      <c r="D13" s="2">
        <f>'data from JD'!D13+'data from JD'!N13/1000</f>
        <v>297.81904000000003</v>
      </c>
      <c r="E13" s="2">
        <f>'data from JD'!G13+'data from JD'!O13/1000</f>
        <v>80.600020000000001</v>
      </c>
      <c r="F13" s="2">
        <f>'data from JD'!F13+'data from JD'!P13/1000</f>
        <v>-8.9999999999999985E-6</v>
      </c>
      <c r="G13" s="2">
        <f>'data from JD'!K13+'data from JD'!P13/1000</f>
        <v>104.699991</v>
      </c>
      <c r="H13" s="2">
        <f>'data from JD'!L13+'data from JD'!R13</f>
        <v>3.7200000000000002E-3</v>
      </c>
      <c r="I13" s="3">
        <v>2.0100000000000001E-3</v>
      </c>
      <c r="J13" s="3">
        <v>-1.0030000000000001E-2</v>
      </c>
    </row>
    <row r="14" spans="1:16" x14ac:dyDescent="0.25">
      <c r="A14" s="4" t="s">
        <v>52</v>
      </c>
      <c r="B14" s="4" t="s">
        <v>1</v>
      </c>
      <c r="D14" s="2">
        <f>'data from JD'!D14+'data from JD'!N14/1000</f>
        <v>299.09264000000002</v>
      </c>
      <c r="E14" s="2">
        <f>'data from JD'!G14+'data from JD'!O14/1000</f>
        <v>80.600020000000001</v>
      </c>
      <c r="F14" s="2">
        <f>'data from JD'!F14+'data from JD'!P14/1000</f>
        <v>0.12991100001284206</v>
      </c>
      <c r="G14" s="2">
        <f>'data from JD'!K14+'data from JD'!P14/1000</f>
        <v>104.699911</v>
      </c>
      <c r="H14" s="2">
        <f>'data from JD'!L14+'data from JD'!R14</f>
        <v>2.7220000000000001E-2</v>
      </c>
      <c r="I14" s="3">
        <v>2.5799999999999998E-3</v>
      </c>
      <c r="J14" s="3">
        <v>3.7200000000000002E-3</v>
      </c>
    </row>
    <row r="15" spans="1:16" x14ac:dyDescent="0.25">
      <c r="A15" s="4" t="s">
        <v>53</v>
      </c>
      <c r="B15" s="4" t="s">
        <v>12</v>
      </c>
      <c r="D15" s="2">
        <f>'data from JD'!D15+'data from JD'!N15/1000</f>
        <v>299.71441999999996</v>
      </c>
      <c r="E15" s="2">
        <f>'data from JD'!G15+'data from JD'!O15/1000</f>
        <v>80.600049999999996</v>
      </c>
      <c r="F15" s="2">
        <f>'data from JD'!F15+'data from JD'!P15/1000</f>
        <v>6.3399519999660399</v>
      </c>
      <c r="G15" s="2">
        <f>'data from JD'!K15+'data from JD'!P15/1000</f>
        <v>104.699952</v>
      </c>
      <c r="H15" s="2">
        <f>'data from JD'!L15+'data from JD'!R15</f>
        <v>4.3E-3</v>
      </c>
      <c r="I15" s="3">
        <v>2.836E-2</v>
      </c>
      <c r="J15" s="3">
        <v>-6.0200000000000002E-3</v>
      </c>
      <c r="L15" s="1">
        <v>5565.55</v>
      </c>
      <c r="M15" s="1">
        <v>10259.549999999999</v>
      </c>
      <c r="N15" s="1">
        <v>17143.525000000001</v>
      </c>
      <c r="O15" s="1">
        <v>20945.125</v>
      </c>
      <c r="P15" s="1">
        <v>24749.35</v>
      </c>
    </row>
    <row r="16" spans="1:16" x14ac:dyDescent="0.25">
      <c r="A16" s="4" t="s">
        <v>3</v>
      </c>
      <c r="B16" s="4" t="s">
        <v>2</v>
      </c>
      <c r="D16" s="2">
        <f>'data from JD'!D16+'data from JD'!N16/1000</f>
        <v>305.38852600000001</v>
      </c>
      <c r="E16" s="2">
        <f>'data from JD'!G16+'data from JD'!O16/1000</f>
        <v>80.302104999999997</v>
      </c>
      <c r="F16" s="2">
        <f>'data from JD'!F16+'data from JD'!P16/1000</f>
        <v>-35.1800740000253</v>
      </c>
      <c r="G16" s="2">
        <f>'data from JD'!K16+'data from JD'!P16/1000</f>
        <v>104.699926</v>
      </c>
      <c r="H16" s="2">
        <f>'data from JD'!L16+'data from JD'!R16</f>
        <v>-6.5004</v>
      </c>
      <c r="I16" s="3">
        <v>3.4399999999999999E-3</v>
      </c>
      <c r="J16" s="3">
        <v>-8.5999999999999998E-4</v>
      </c>
    </row>
    <row r="17" spans="1:16" x14ac:dyDescent="0.25">
      <c r="A17" s="4" t="s">
        <v>78</v>
      </c>
      <c r="B17" s="4" t="s">
        <v>4</v>
      </c>
      <c r="D17" s="2">
        <f>'data from JD'!D17+'data from JD'!N17/1000</f>
        <v>303.09969999999998</v>
      </c>
      <c r="E17" s="2">
        <f>'data from JD'!G17+'data from JD'!O17/1000</f>
        <v>79.718190000000007</v>
      </c>
      <c r="F17" s="2">
        <f>'data from JD'!F17+'data from JD'!P17/1000</f>
        <v>-2.7500000000000002E-4</v>
      </c>
      <c r="G17" s="2">
        <f>'data from JD'!K17+'data from JD'!P17/1000</f>
        <v>104.77052499999999</v>
      </c>
      <c r="H17" s="2">
        <f>'data from JD'!L17+'data from JD'!R17</f>
        <v>-8.0367370878700015</v>
      </c>
      <c r="I17" s="3">
        <v>-6.6314559800000001E-3</v>
      </c>
      <c r="J17" s="3">
        <v>-5.600031506E-2</v>
      </c>
    </row>
    <row r="18" spans="1:16" x14ac:dyDescent="0.25">
      <c r="A18" s="4" t="s">
        <v>79</v>
      </c>
      <c r="B18" s="4" t="s">
        <v>5</v>
      </c>
      <c r="D18" s="2">
        <f>'data from JD'!D18+'data from JD'!N18/1000</f>
        <v>304.38832000000002</v>
      </c>
      <c r="E18" s="2">
        <f>'data from JD'!G18+'data from JD'!O18/1000</f>
        <v>79.536090000000002</v>
      </c>
      <c r="F18" s="2">
        <f>'data from JD'!F18+'data from JD'!P18/1000</f>
        <v>-1.75E-4</v>
      </c>
      <c r="G18" s="2">
        <f>'data from JD'!K18+'data from JD'!P18/1000</f>
        <v>104.770625</v>
      </c>
      <c r="H18" s="2">
        <f>'data from JD'!L18+'data from JD'!R18</f>
        <v>-8.0411238140800005</v>
      </c>
      <c r="I18" s="3">
        <v>-6.6571393899999996E-3</v>
      </c>
      <c r="J18" s="3">
        <v>-9.3333884859999994E-2</v>
      </c>
    </row>
    <row r="19" spans="1:16" x14ac:dyDescent="0.25">
      <c r="A19" s="4" t="s">
        <v>80</v>
      </c>
      <c r="B19" s="4" t="s">
        <v>6</v>
      </c>
      <c r="D19" s="2">
        <f>'data from JD'!D19+'data from JD'!N19/1000</f>
        <v>305.67002000000002</v>
      </c>
      <c r="E19" s="2">
        <f>'data from JD'!G19+'data from JD'!O19/1000</f>
        <v>79.354489999999998</v>
      </c>
      <c r="F19" s="2">
        <f>'data from JD'!F19+'data from JD'!P19/1000</f>
        <v>0</v>
      </c>
      <c r="G19" s="2">
        <f>'data from JD'!K19+'data from JD'!P19/1000</f>
        <v>104.77079999999999</v>
      </c>
      <c r="H19" s="2">
        <f>'data from JD'!L19+'data from JD'!R19</f>
        <v>-8.0500000000000007</v>
      </c>
      <c r="I19" s="3">
        <v>1.724045548E-2</v>
      </c>
      <c r="J19" s="3">
        <v>-3.7333541509999998E-2</v>
      </c>
    </row>
    <row r="20" spans="1:16" x14ac:dyDescent="0.25">
      <c r="A20" s="4" t="s">
        <v>81</v>
      </c>
      <c r="B20" s="4" t="s">
        <v>7</v>
      </c>
      <c r="D20" s="2">
        <f>'data from JD'!D20+'data from JD'!N20/1000</f>
        <v>306.66042000000004</v>
      </c>
      <c r="E20" s="2">
        <f>'data from JD'!G20+'data from JD'!O20/1000</f>
        <v>79.214760000000012</v>
      </c>
      <c r="F20" s="2">
        <f>'data from JD'!F20+'data from JD'!P20/1000</f>
        <v>7.4999999999999993E-5</v>
      </c>
      <c r="G20" s="2">
        <f>'data from JD'!K20+'data from JD'!P20/1000</f>
        <v>104.77087499999999</v>
      </c>
      <c r="H20" s="2">
        <f>'data from JD'!L20+'data from JD'!R20</f>
        <v>-8.0500000000000007</v>
      </c>
      <c r="I20" s="3">
        <v>-1.361591731E-2</v>
      </c>
      <c r="J20" s="3">
        <v>-9.3333886869999994E-2</v>
      </c>
    </row>
    <row r="21" spans="1:16" x14ac:dyDescent="0.25">
      <c r="A21" s="4" t="s">
        <v>82</v>
      </c>
      <c r="B21" s="4" t="s">
        <v>8</v>
      </c>
      <c r="D21" s="2">
        <f>'data from JD'!D21+'data from JD'!N21/1000</f>
        <v>307.70464000000004</v>
      </c>
      <c r="E21" s="2">
        <f>'data from JD'!G21+'data from JD'!O21/1000</f>
        <v>79.067030000000003</v>
      </c>
      <c r="F21" s="2">
        <f>'data from JD'!F21+'data from JD'!P21/1000</f>
        <v>-2.2499999999999999E-4</v>
      </c>
      <c r="G21" s="2">
        <f>'data from JD'!K21+'data from JD'!P21/1000</f>
        <v>104.77057499999999</v>
      </c>
      <c r="H21" s="2">
        <f>'data from JD'!L21+'data from JD'!R21</f>
        <v>-8.0445013645600003</v>
      </c>
      <c r="I21" s="3">
        <v>1.374658831E-2</v>
      </c>
      <c r="J21" s="3">
        <v>-0.13066749717000001</v>
      </c>
    </row>
    <row r="22" spans="1:16" x14ac:dyDescent="0.25">
      <c r="A22" s="4" t="s">
        <v>83</v>
      </c>
      <c r="B22" s="4" t="s">
        <v>9</v>
      </c>
      <c r="D22" s="2">
        <f>'data from JD'!D22+'data from JD'!N22/1000</f>
        <v>308.89939999999996</v>
      </c>
      <c r="E22" s="2">
        <f>'data from JD'!G22+'data from JD'!O22/1000</f>
        <v>78.897869999999998</v>
      </c>
      <c r="F22" s="2">
        <f>'data from JD'!F22+'data from JD'!P22/1000</f>
        <v>-5.0000000000000001E-4</v>
      </c>
      <c r="G22" s="2">
        <f>'data from JD'!K22+'data from JD'!P22/1000</f>
        <v>104.77029999999999</v>
      </c>
      <c r="H22" s="2">
        <f>'data from JD'!L22+'data from JD'!R22</f>
        <v>-8.0643239474600001</v>
      </c>
      <c r="I22" s="3">
        <v>3.3422539940000003E-2</v>
      </c>
      <c r="J22" s="3">
        <v>-0.11200070193</v>
      </c>
    </row>
    <row r="23" spans="1:16" x14ac:dyDescent="0.25">
      <c r="A23" s="4" t="s">
        <v>84</v>
      </c>
      <c r="B23" s="4" t="s">
        <v>10</v>
      </c>
      <c r="D23" s="2">
        <f>'data from JD'!D23+'data from JD'!N23/1000</f>
        <v>310.14345000000003</v>
      </c>
      <c r="E23" s="2">
        <f>'data from JD'!G23+'data from JD'!O23/1000</f>
        <v>78.721819999999994</v>
      </c>
      <c r="F23" s="2">
        <f>'data from JD'!F23+'data from JD'!P23/1000</f>
        <v>4.4999999999999999E-4</v>
      </c>
      <c r="G23" s="2">
        <f>'data from JD'!K23+'data from JD'!P23/1000</f>
        <v>104.77124999999999</v>
      </c>
      <c r="H23" s="2">
        <f>'data from JD'!L23+'data from JD'!R23</f>
        <v>-8.0593850589000002</v>
      </c>
      <c r="I23" s="3">
        <v>-2.346264583E-2</v>
      </c>
      <c r="J23" s="3">
        <v>0.11200069226999999</v>
      </c>
    </row>
    <row r="24" spans="1:16" x14ac:dyDescent="0.25">
      <c r="A24" s="4" t="s">
        <v>85</v>
      </c>
      <c r="B24" s="4" t="s">
        <v>11</v>
      </c>
      <c r="D24" s="2">
        <f>'data from JD'!D24+'data from JD'!N24/1000</f>
        <v>311.56452999999999</v>
      </c>
      <c r="E24" s="2">
        <f>'data from JD'!G24+'data from JD'!O24/1000</f>
        <v>78.526139999999998</v>
      </c>
      <c r="F24" s="2">
        <f>'data from JD'!F24+'data from JD'!P24/1000</f>
        <v>1.25E-4</v>
      </c>
      <c r="G24" s="2">
        <f>'data from JD'!K24+'data from JD'!P24/1000</f>
        <v>104.77092499999999</v>
      </c>
      <c r="H24" s="2">
        <f>'data from JD'!L24+'data from JD'!R24</f>
        <v>-8.0435622717000008</v>
      </c>
      <c r="I24" s="3">
        <v>-1.6094320299999999E-2</v>
      </c>
      <c r="J24" s="3">
        <v>1.8666769659999999E-2</v>
      </c>
    </row>
    <row r="25" spans="1:16" x14ac:dyDescent="0.25">
      <c r="A25" s="4" t="s">
        <v>44</v>
      </c>
      <c r="B25" s="4" t="s">
        <v>43</v>
      </c>
      <c r="D25" s="2">
        <f>'data from JD'!D25+'data from JD'!N25/1000</f>
        <v>306.52318199999996</v>
      </c>
      <c r="E25" s="2">
        <f>'data from JD'!G25+'data from JD'!O25/1000</f>
        <v>79.433115999999998</v>
      </c>
      <c r="F25" s="2">
        <f>'data from JD'!F25+'data from JD'!P25/1000</f>
        <v>-0.91003700003305099</v>
      </c>
      <c r="G25" s="2">
        <f>'data from JD'!K25+'data from JD'!P25/1000</f>
        <v>104.699963</v>
      </c>
      <c r="H25" s="2">
        <f>'data from JD'!L25+'data from JD'!R25</f>
        <v>-8.0426300000000008</v>
      </c>
      <c r="I25" s="3">
        <v>2.8600000000000001E-3</v>
      </c>
      <c r="J25" s="3">
        <v>-4.0099999999999997E-3</v>
      </c>
    </row>
    <row r="26" spans="1:16" x14ac:dyDescent="0.25">
      <c r="A26" s="4" t="s">
        <v>45</v>
      </c>
      <c r="D26" s="2">
        <f>'data from JD'!D26+'data from JD'!N26/1000</f>
        <v>374.27</v>
      </c>
      <c r="E26" s="2">
        <f>'data from JD'!G26+'data from JD'!O26/1000</f>
        <v>80.600714999999994</v>
      </c>
      <c r="F26" s="2">
        <f>'data from JD'!F26+'data from JD'!P26/1000</f>
        <v>4.7599999999999997E-4</v>
      </c>
      <c r="G26" s="2">
        <f>'data from JD'!K26+'data from JD'!P26/1000</f>
        <v>104.70047600000001</v>
      </c>
      <c r="H26" s="2">
        <f>'data from JD'!L26+'data from JD'!R26</f>
        <v>0</v>
      </c>
      <c r="I26" s="3"/>
      <c r="J26" s="3"/>
    </row>
    <row r="27" spans="1:16" x14ac:dyDescent="0.25">
      <c r="A27" s="4" t="s">
        <v>54</v>
      </c>
      <c r="B27" s="4" t="s">
        <v>26</v>
      </c>
      <c r="D27" s="2">
        <f>'data from JD'!D27+'data from JD'!N27/1000</f>
        <v>374.48512999999997</v>
      </c>
      <c r="E27" s="2">
        <f>'data from JD'!G27+'data from JD'!O27/1000</f>
        <v>80.599999999999994</v>
      </c>
      <c r="F27" s="2">
        <f>'data from JD'!F27+'data from JD'!P27/1000</f>
        <v>-0.89004400002670281</v>
      </c>
      <c r="G27" s="2">
        <f>'data from JD'!K27+'data from JD'!P27/1000</f>
        <v>104.699956</v>
      </c>
      <c r="H27" s="2">
        <f>'data from JD'!L27+'data from JD'!R27</f>
        <v>-2.5799999999999998E-3</v>
      </c>
      <c r="I27" s="3">
        <v>1.49E-2</v>
      </c>
      <c r="J27" s="3">
        <v>6.8799999999999998E-3</v>
      </c>
    </row>
    <row r="28" spans="1:16" x14ac:dyDescent="0.25">
      <c r="A28" s="4" t="s">
        <v>55</v>
      </c>
      <c r="B28" s="4" t="s">
        <v>27</v>
      </c>
      <c r="D28" s="2">
        <f>'data from JD'!D28+'data from JD'!N28/1000</f>
        <v>380.37266399999999</v>
      </c>
      <c r="E28" s="2">
        <f>'data from JD'!G28+'data from JD'!O28/1000</f>
        <v>80.600059999999999</v>
      </c>
      <c r="F28" s="2">
        <f>'data from JD'!F28+'data from JD'!P28/1000</f>
        <v>-0.88995200002670272</v>
      </c>
      <c r="G28" s="2">
        <f>'data from JD'!K28+'data from JD'!P28/1000</f>
        <v>104.70004800000001</v>
      </c>
      <c r="H28" s="2">
        <f>'data from JD'!L28+'data from JD'!R28</f>
        <v>-2.0629999999999999E-2</v>
      </c>
      <c r="I28" s="3">
        <v>1.375E-2</v>
      </c>
      <c r="J28" s="3">
        <v>1.5469999999999999E-2</v>
      </c>
    </row>
    <row r="29" spans="1:16" x14ac:dyDescent="0.25">
      <c r="A29" s="4" t="s">
        <v>56</v>
      </c>
      <c r="B29" s="4" t="s">
        <v>28</v>
      </c>
      <c r="D29" s="2">
        <f>'data from JD'!D29+'data from JD'!N29/1000</f>
        <v>376.78400999999997</v>
      </c>
      <c r="E29" s="2">
        <f>'data from JD'!G29+'data from JD'!O29/1000</f>
        <v>80.600110000000001</v>
      </c>
      <c r="F29" s="2">
        <f>'data from JD'!F29+'data from JD'!P29/1000</f>
        <v>-8.9999999999999985E-6</v>
      </c>
      <c r="G29" s="2">
        <f>'data from JD'!K29+'data from JD'!P29/1000</f>
        <v>104.699991</v>
      </c>
      <c r="H29" s="2">
        <f>'data from JD'!L29+'data from JD'!R29</f>
        <v>-8.5999999999999998E-4</v>
      </c>
      <c r="I29" s="3">
        <v>3.15E-3</v>
      </c>
      <c r="J29" s="3">
        <v>2.8649999999999998E-2</v>
      </c>
    </row>
    <row r="30" spans="1:16" x14ac:dyDescent="0.25">
      <c r="A30" s="4" t="s">
        <v>57</v>
      </c>
      <c r="B30" s="4" t="s">
        <v>29</v>
      </c>
      <c r="D30" s="2">
        <f>'data from JD'!D30+'data from JD'!N30/1000</f>
        <v>381.13933600000001</v>
      </c>
      <c r="E30" s="2">
        <f>'data from JD'!G30+'data from JD'!O30/1000</f>
        <v>80.600009999999997</v>
      </c>
      <c r="F30" s="2">
        <f>'data from JD'!F30+'data from JD'!P30/1000</f>
        <v>3.1999999999999999E-5</v>
      </c>
      <c r="G30" s="2">
        <f>'data from JD'!K30+'data from JD'!P30/1000</f>
        <v>104.70003200000001</v>
      </c>
      <c r="H30" s="2">
        <f>'data from JD'!L30+'data from JD'!R30</f>
        <v>-7.7299999999999999E-3</v>
      </c>
      <c r="I30" s="3">
        <v>2.034E-2</v>
      </c>
      <c r="J30" s="3">
        <v>-5.4400000000000004E-3</v>
      </c>
    </row>
    <row r="31" spans="1:16" x14ac:dyDescent="0.25">
      <c r="A31" s="4" t="s">
        <v>58</v>
      </c>
      <c r="B31" s="4" t="s">
        <v>23</v>
      </c>
      <c r="D31" s="2">
        <f>'data from JD'!D31+'data from JD'!N31/1000</f>
        <v>385.23072999999999</v>
      </c>
      <c r="E31" s="2">
        <f>'data from JD'!G31+'data from JD'!O31/1000</f>
        <v>80.600039999999993</v>
      </c>
      <c r="F31" s="2">
        <f>'data from JD'!F31+'data from JD'!P31/1000</f>
        <v>-0.12002400003808963</v>
      </c>
      <c r="G31" s="2">
        <f>'data from JD'!K31+'data from JD'!P31/1000</f>
        <v>104.69997600000001</v>
      </c>
      <c r="H31" s="2">
        <f>'data from JD'!L31+'data from JD'!R31</f>
        <v>-1.261E-2</v>
      </c>
      <c r="I31" s="3">
        <v>-2.2630000000000001E-2</v>
      </c>
      <c r="J31" s="3">
        <v>7.45E-3</v>
      </c>
      <c r="L31" s="4">
        <v>5270</v>
      </c>
      <c r="M31" s="4">
        <v>10002</v>
      </c>
      <c r="N31" s="4">
        <v>16845</v>
      </c>
      <c r="O31" s="4">
        <v>20638</v>
      </c>
      <c r="P31" s="4">
        <v>24431</v>
      </c>
    </row>
    <row r="32" spans="1:16" x14ac:dyDescent="0.25">
      <c r="A32" s="4" t="s">
        <v>59</v>
      </c>
      <c r="B32" s="4" t="s">
        <v>22</v>
      </c>
      <c r="D32" s="2">
        <f>'data from JD'!D32+'data from JD'!N32/1000</f>
        <v>386.76724000000002</v>
      </c>
      <c r="E32" s="2">
        <f>'data from JD'!G32+'data from JD'!O32/1000</f>
        <v>80.599959999999996</v>
      </c>
      <c r="F32" s="2">
        <f>'data from JD'!F32+'data from JD'!P32/1000</f>
        <v>0.17991300000029103</v>
      </c>
      <c r="G32" s="2">
        <f>'data from JD'!K32+'data from JD'!P32/1000</f>
        <v>104.69991300000001</v>
      </c>
      <c r="H32" s="2">
        <f>'data from JD'!L32+'data from JD'!R32</f>
        <v>-1.15E-3</v>
      </c>
      <c r="I32" s="3">
        <v>8.5900000000000004E-3</v>
      </c>
      <c r="J32" s="3">
        <v>5.6999999999999998E-4</v>
      </c>
    </row>
    <row r="33" spans="1:10" x14ac:dyDescent="0.25">
      <c r="A33" s="4" t="s">
        <v>60</v>
      </c>
      <c r="B33" s="4" t="s">
        <v>20</v>
      </c>
      <c r="D33" s="2">
        <f>'data from JD'!D33+'data from JD'!N33/1000</f>
        <v>389.687815</v>
      </c>
      <c r="E33" s="2">
        <f>'data from JD'!G33+'data from JD'!O33/1000</f>
        <v>80.238591</v>
      </c>
      <c r="F33" s="2">
        <f>'data from JD'!F33+'data from JD'!P33/1000</f>
        <v>0.18153199999524153</v>
      </c>
      <c r="G33" s="2">
        <f>'data from JD'!K33+'data from JD'!P33/1000</f>
        <v>104.699532</v>
      </c>
      <c r="H33" s="2">
        <f>'data from JD'!L33+'data from JD'!R33</f>
        <v>-4.6595800000000001</v>
      </c>
      <c r="I33" s="3">
        <v>8.0500000000000002E-2</v>
      </c>
      <c r="J33" s="3">
        <v>-0.15642</v>
      </c>
    </row>
    <row r="34" spans="1:10" x14ac:dyDescent="0.25">
      <c r="A34" s="4" t="s">
        <v>61</v>
      </c>
      <c r="B34" s="4" t="s">
        <v>21</v>
      </c>
      <c r="D34" s="2">
        <f>'data from JD'!D34+'data from JD'!N34/1000</f>
        <v>389.68715199999997</v>
      </c>
      <c r="E34" s="2">
        <f>'data from JD'!G34+'data from JD'!O34/1000</f>
        <v>80.960179000000011</v>
      </c>
      <c r="F34" s="2">
        <f>'data from JD'!F34+'data from JD'!P34/1000</f>
        <v>0.18081299999524153</v>
      </c>
      <c r="G34" s="2">
        <f>'data from JD'!K34+'data from JD'!P34/1000</f>
        <v>104.698813</v>
      </c>
      <c r="H34" s="2">
        <f>'data from JD'!L34+'data from JD'!R34</f>
        <v>4.5707700000000004</v>
      </c>
      <c r="I34" s="3">
        <v>-0.13464999999999999</v>
      </c>
      <c r="J34" s="3">
        <v>3.0939999999999999E-2</v>
      </c>
    </row>
    <row r="35" spans="1:10" x14ac:dyDescent="0.25">
      <c r="A35" s="4" t="s">
        <v>62</v>
      </c>
      <c r="B35" s="2" t="s">
        <v>92</v>
      </c>
      <c r="D35" s="2">
        <f>'data from JD'!D35+'data from JD'!N35/1000</f>
        <v>390.07734999999997</v>
      </c>
      <c r="E35" s="2">
        <f>'data from JD'!G35+'data from JD'!O35/1000</f>
        <v>80.334309999999988</v>
      </c>
      <c r="F35" s="2">
        <f>'data from JD'!F35+'data from JD'!P35/1000</f>
        <v>0.18167999999524154</v>
      </c>
      <c r="G35" s="2">
        <f>'data from JD'!K35+'data from JD'!P35/1000</f>
        <v>104.69968</v>
      </c>
      <c r="H35" s="2">
        <f>'data from JD'!L35+'data from JD'!R35</f>
        <v>-4.7606999999999999</v>
      </c>
      <c r="I35" s="3"/>
      <c r="J35" s="3"/>
    </row>
    <row r="36" spans="1:10" x14ac:dyDescent="0.25">
      <c r="A36" s="4" t="s">
        <v>63</v>
      </c>
      <c r="B36" s="2" t="s">
        <v>91</v>
      </c>
      <c r="D36" s="2">
        <f>'data from JD'!D36+'data from JD'!N36/1000</f>
        <v>390.07688999999999</v>
      </c>
      <c r="E36" s="2">
        <f>'data from JD'!G36+'data from JD'!O36/1000</f>
        <v>80.864989999999992</v>
      </c>
      <c r="F36" s="2">
        <f>'data from JD'!F36+'data from JD'!P36/1000</f>
        <v>0.18207999999524152</v>
      </c>
      <c r="G36" s="2">
        <f>'data from JD'!K36+'data from JD'!P36/1000</f>
        <v>104.70008</v>
      </c>
      <c r="H36" s="2">
        <f>'data from JD'!L36+'data from JD'!R36</f>
        <v>4.9527999999999999</v>
      </c>
      <c r="I36" s="3"/>
      <c r="J36" s="3"/>
    </row>
    <row r="37" spans="1:10" x14ac:dyDescent="0.25">
      <c r="A37" s="4" t="s">
        <v>64</v>
      </c>
      <c r="D37" s="2">
        <f>'data from JD'!D37+'data from JD'!N37/1000</f>
        <v>395.85</v>
      </c>
      <c r="E37" s="2">
        <f>'data from JD'!G37+'data from JD'!O37/1000</f>
        <v>80.599809999999991</v>
      </c>
      <c r="F37" s="2">
        <f>'data from JD'!F37+'data from JD'!P37/1000</f>
        <v>-5.0000000000000002E-5</v>
      </c>
      <c r="G37" s="2">
        <f>'data from JD'!K37+'data from JD'!P37/1000</f>
        <v>104.69995</v>
      </c>
      <c r="H37" s="2">
        <f>'data from JD'!L37+'data from JD'!R37</f>
        <v>0</v>
      </c>
    </row>
    <row r="38" spans="1:10" x14ac:dyDescent="0.25">
      <c r="A38" s="4" t="s">
        <v>65</v>
      </c>
      <c r="B38" s="4" t="s">
        <v>24</v>
      </c>
      <c r="D38" s="2">
        <f>'data from JD'!D38+'data from JD'!N38/1000</f>
        <v>400.02839</v>
      </c>
      <c r="E38" s="2">
        <f>'data from JD'!G38+'data from JD'!O38/1000</f>
        <v>80.599999999999994</v>
      </c>
      <c r="F38" s="2">
        <f>'data from JD'!F38+'data from JD'!P38/1000</f>
        <v>6.0600139999340072</v>
      </c>
      <c r="G38" s="2">
        <f>'data from JD'!K38+'data from JD'!P38/1000</f>
        <v>104.700014</v>
      </c>
      <c r="H38" s="2">
        <f>'data from JD'!L38+'data from JD'!R38</f>
        <v>1.7760000000000001E-2</v>
      </c>
      <c r="I38" s="3">
        <v>1.289E-2</v>
      </c>
      <c r="J38" s="3">
        <v>2.0100000000000001E-3</v>
      </c>
    </row>
    <row r="39" spans="1:10" x14ac:dyDescent="0.25">
      <c r="A39" s="4" t="s">
        <v>66</v>
      </c>
      <c r="B39" s="4" t="s">
        <v>46</v>
      </c>
      <c r="D39" s="2">
        <f>'data from JD'!D39+'data from JD'!N39/1000</f>
        <v>400.25650000000002</v>
      </c>
      <c r="E39" s="2">
        <f>'data from JD'!G39+'data from JD'!O39/1000</f>
        <v>80.601029999999994</v>
      </c>
      <c r="F39" s="2">
        <f>'data from JD'!F39+'data from JD'!P39/1000</f>
        <v>6.1090199999782993</v>
      </c>
      <c r="G39" s="2">
        <f>'data from JD'!K39+'data from JD'!P39/1000</f>
        <v>104.69902</v>
      </c>
      <c r="H39" s="2">
        <f>'data from JD'!L39+'data from JD'!R39</f>
        <v>1.6330000000000001E-2</v>
      </c>
      <c r="I39" s="3">
        <v>4.24E-2</v>
      </c>
      <c r="J39" s="3">
        <v>4.5799999999999999E-3</v>
      </c>
    </row>
    <row r="40" spans="1:10" x14ac:dyDescent="0.25">
      <c r="A40" s="4" t="s">
        <v>67</v>
      </c>
      <c r="B40" s="4" t="s">
        <v>18</v>
      </c>
      <c r="D40" s="2">
        <f>'data from JD'!D40+'data from JD'!N40/1000</f>
        <v>398.78398999999996</v>
      </c>
      <c r="E40" s="2">
        <f>'data from JD'!G40+'data from JD'!O40/1000</f>
        <v>80.603589999999997</v>
      </c>
      <c r="F40" s="2">
        <f>'data from JD'!F40+'data from JD'!P40/1000</f>
        <v>0.18101200000029105</v>
      </c>
      <c r="G40" s="2">
        <f>'data from JD'!K40+'data from JD'!P40/1000</f>
        <v>104.70101200000001</v>
      </c>
      <c r="H40" s="2">
        <f>'data from JD'!L40+'data from JD'!R40</f>
        <v>5.4140000000000001E-2</v>
      </c>
      <c r="I40" s="3">
        <v>-2.6069999999999999E-2</v>
      </c>
      <c r="J40" s="3">
        <v>-1.8982699999999999</v>
      </c>
    </row>
    <row r="41" spans="1:10" x14ac:dyDescent="0.25">
      <c r="A41" s="4" t="s">
        <v>86</v>
      </c>
      <c r="B41" s="4" t="s">
        <v>19</v>
      </c>
      <c r="C41" s="2" t="s">
        <v>47</v>
      </c>
      <c r="D41" s="2">
        <f>'data from JD'!D41+'data from JD'!N41/1000</f>
        <v>398.44558999999998</v>
      </c>
      <c r="E41" s="2">
        <f>'data from JD'!G41+'data from JD'!O41/1000</f>
        <v>80.60114999999999</v>
      </c>
      <c r="F41" s="2">
        <f>'data from JD'!F41+'data from JD'!P41/1000</f>
        <v>356.07161199998836</v>
      </c>
      <c r="G41" s="2">
        <f>'data from JD'!K41+'data from JD'!P41/1000</f>
        <v>104.701612</v>
      </c>
      <c r="H41" s="2">
        <f>'data from JD'!L41+'data from JD'!R41</f>
        <v>-8.5379999999999998E-2</v>
      </c>
      <c r="I41" s="3">
        <v>-0.61192999999999997</v>
      </c>
      <c r="J41" s="3">
        <v>0.75231999999999999</v>
      </c>
    </row>
    <row r="42" spans="1:10" x14ac:dyDescent="0.25">
      <c r="A42" s="4" t="s">
        <v>98</v>
      </c>
      <c r="C42" s="2"/>
      <c r="D42" s="2">
        <f>'data from JD'!D42+'data from JD'!N42/1000</f>
        <v>398.53289000000001</v>
      </c>
      <c r="E42" s="2">
        <f>'data from JD'!G42+'data from JD'!O42/1000</f>
        <v>80.601019908591255</v>
      </c>
      <c r="F42" s="2">
        <f>'data from JD'!F42+'data from JD'!P42/1000</f>
        <v>6.7963467091822368E-4</v>
      </c>
      <c r="G42" s="2">
        <f>'data from JD'!K42+'data from JD'!P42/1000</f>
        <v>104.70067963467092</v>
      </c>
      <c r="H42" s="2">
        <f>'data from JD'!L42+'data from JD'!R42</f>
        <v>0</v>
      </c>
      <c r="I42" s="3">
        <v>0</v>
      </c>
      <c r="J42" s="3">
        <v>0.75231999999999999</v>
      </c>
    </row>
    <row r="43" spans="1:10" x14ac:dyDescent="0.25">
      <c r="A43" s="4" t="s">
        <v>99</v>
      </c>
      <c r="C43" s="2"/>
      <c r="D43" s="2">
        <f>'data from JD'!D43+'data from JD'!N43/1000</f>
        <v>399.11977999999999</v>
      </c>
      <c r="E43" s="2">
        <f>'data from JD'!G43+'data from JD'!O43/1000</f>
        <v>80.600145342347588</v>
      </c>
      <c r="F43" s="2">
        <f>'data from JD'!F43+'data from JD'!P43/1000</f>
        <v>-5.5883829601072943E-3</v>
      </c>
      <c r="G43" s="2">
        <f>'data from JD'!K43+'data from JD'!P43/1000</f>
        <v>104.69441161703989</v>
      </c>
      <c r="H43" s="2">
        <f>'data from JD'!L43+'data from JD'!R43</f>
        <v>0</v>
      </c>
      <c r="I43" s="3">
        <v>0</v>
      </c>
      <c r="J43" s="3">
        <v>0.75231999999999999</v>
      </c>
    </row>
    <row r="44" spans="1:10" x14ac:dyDescent="0.25">
      <c r="A44" s="4" t="s">
        <v>124</v>
      </c>
      <c r="D44" s="2">
        <f>'data from JD'!D44+'data from JD'!N44/1000</f>
        <v>399.96114</v>
      </c>
      <c r="E44" s="2">
        <f>'data from JD'!G44+'data from JD'!O44/1000</f>
        <v>80.599099999999993</v>
      </c>
      <c r="F44" s="2"/>
      <c r="G44" s="2">
        <f>'data from JD'!K44+'data from JD'!P44/1000</f>
        <v>104.700329</v>
      </c>
      <c r="H44" s="2">
        <v>1.6330000000000001E-2</v>
      </c>
      <c r="I44" s="3">
        <v>-4.9270000000000001E-2</v>
      </c>
      <c r="J44" s="3">
        <v>8.8239999999999999E-2</v>
      </c>
    </row>
    <row r="45" spans="1:10" x14ac:dyDescent="0.25">
      <c r="A45" s="4" t="s">
        <v>125</v>
      </c>
      <c r="D45" s="2">
        <f>'data from JD'!D45+'data from JD'!N45/1000</f>
        <v>400.54684000000003</v>
      </c>
      <c r="E45" s="2">
        <f>'data from JD'!G45+'data from JD'!O45/1000</f>
        <v>80.599309999999988</v>
      </c>
      <c r="F45" s="2"/>
      <c r="G45" s="2">
        <f>'data from JD'!K45+'data from JD'!P45/1000</f>
        <v>104.69994200000001</v>
      </c>
      <c r="H45" s="2">
        <v>2.2630000000000001E-2</v>
      </c>
      <c r="I45" s="3">
        <v>-3.524E-2</v>
      </c>
      <c r="J45" s="3">
        <v>8.8800000000000007E-3</v>
      </c>
    </row>
    <row r="46" spans="1:10" x14ac:dyDescent="0.25">
      <c r="A46" s="4" t="s">
        <v>126</v>
      </c>
      <c r="D46" s="2">
        <f>'data from JD'!D46+'data from JD'!N46/1000</f>
        <v>401.13272999999998</v>
      </c>
      <c r="E46" s="2">
        <f>'data from JD'!G46+'data from JD'!O46/1000</f>
        <v>80.600009999999997</v>
      </c>
      <c r="F46" s="2"/>
      <c r="G46" s="2">
        <f>'data from JD'!K46+'data from JD'!P46/1000</f>
        <v>104.699675</v>
      </c>
      <c r="H46" s="2">
        <v>2.9219999999999999E-2</v>
      </c>
      <c r="I46" s="3">
        <v>-6.8180000000000004E-2</v>
      </c>
      <c r="J46" s="3">
        <v>2.9510000000000002E-2</v>
      </c>
    </row>
    <row r="47" spans="1:10" x14ac:dyDescent="0.25">
      <c r="A47" s="4" t="s">
        <v>127</v>
      </c>
      <c r="D47" s="2">
        <f>'data from JD'!D47+'data from JD'!N47/1000</f>
        <v>401.51947999999999</v>
      </c>
      <c r="E47" s="2">
        <f>'data from JD'!G47+'data from JD'!O47/1000</f>
        <v>80.600179999999995</v>
      </c>
      <c r="F47" s="2"/>
      <c r="G47" s="2">
        <f>'data from JD'!K47+'data from JD'!P47/1000</f>
        <v>104.700231</v>
      </c>
      <c r="H47" s="2">
        <v>-1.72E-3</v>
      </c>
      <c r="I47" s="3">
        <v>0.10972</v>
      </c>
      <c r="J47" s="3">
        <v>6.5900000000000004E-3</v>
      </c>
    </row>
    <row r="48" spans="1:10" x14ac:dyDescent="0.25">
      <c r="A48" s="4" t="s">
        <v>68</v>
      </c>
      <c r="B48" s="4" t="s">
        <v>17</v>
      </c>
      <c r="D48" s="2">
        <f>'data from JD'!D48+'data from JD'!N48/1000</f>
        <v>399.06547</v>
      </c>
      <c r="E48" s="2">
        <f>'data from JD'!G48+'data from JD'!O48/1000</f>
        <v>80.600069999999988</v>
      </c>
      <c r="F48" s="2">
        <f>'data from JD'!F48+'data from JD'!P48/1000</f>
        <v>6.4099349999598365</v>
      </c>
      <c r="G48" s="2">
        <f>'data from JD'!K48+'data from JD'!P48/1000</f>
        <v>104.699935</v>
      </c>
      <c r="H48" s="2">
        <f>'data from JD'!L48+'data from JD'!R48</f>
        <v>2.8600000000000001E-3</v>
      </c>
      <c r="I48" s="3">
        <v>-2.3199999999999998E-2</v>
      </c>
      <c r="J48" s="3">
        <v>4.7840000000000001E-2</v>
      </c>
    </row>
    <row r="49" spans="1:10" x14ac:dyDescent="0.25">
      <c r="A49" s="4" t="s">
        <v>69</v>
      </c>
      <c r="B49" s="4" t="s">
        <v>15</v>
      </c>
      <c r="D49" s="2">
        <f>'data from JD'!D49+'data from JD'!N49/1000</f>
        <v>404.38767999999999</v>
      </c>
      <c r="E49" s="2">
        <f>'data from JD'!G49+'data from JD'!O49/1000</f>
        <v>80.605289999999997</v>
      </c>
      <c r="F49" s="2">
        <f>'data from JD'!F49+'data from JD'!P49/1000</f>
        <v>0.17997900000029105</v>
      </c>
      <c r="G49" s="2">
        <f>'data from JD'!K49+'data from JD'!P49/1000</f>
        <v>104.699979</v>
      </c>
      <c r="H49" s="2">
        <f>'data from JD'!L49+'data from JD'!R49</f>
        <v>-7.0190000000000002E-2</v>
      </c>
      <c r="I49" s="3">
        <v>4.1829999999999999E-2</v>
      </c>
      <c r="J49" s="3">
        <v>-1.49E-2</v>
      </c>
    </row>
    <row r="50" spans="1:10" x14ac:dyDescent="0.25">
      <c r="A50" s="4" t="s">
        <v>70</v>
      </c>
      <c r="B50" s="4" t="s">
        <v>16</v>
      </c>
      <c r="D50" s="2">
        <f>'data from JD'!D50+'data from JD'!N50/1000</f>
        <v>404.19655</v>
      </c>
      <c r="E50" s="2">
        <f>'data from JD'!G50+'data from JD'!O50/1000</f>
        <v>80.603079999999991</v>
      </c>
      <c r="F50" s="2">
        <f>'data from JD'!F50+'data from JD'!P50/1000</f>
        <v>0.18225100000029104</v>
      </c>
      <c r="G50" s="2">
        <f>'data from JD'!K50+'data from JD'!P50/1000</f>
        <v>104.702251</v>
      </c>
      <c r="H50" s="2">
        <f>'data from JD'!L50+'data from JD'!R50</f>
        <v>4.6120000000000001E-2</v>
      </c>
      <c r="I50" s="3">
        <v>4.2689999999999999E-2</v>
      </c>
      <c r="J50" s="3">
        <v>-0.18134</v>
      </c>
    </row>
    <row r="51" spans="1:10" x14ac:dyDescent="0.25">
      <c r="A51" s="4" t="s">
        <v>71</v>
      </c>
      <c r="D51" s="2">
        <v>415.09</v>
      </c>
      <c r="E51" s="2">
        <f>'data from JD'!G51+'data from JD'!O51/1000</f>
        <v>80.599969999999999</v>
      </c>
      <c r="F51" s="2">
        <f>'data from JD'!F51+'data from JD'!P51/1000</f>
        <v>2.7E-4</v>
      </c>
      <c r="G51" s="2">
        <f>'data from JD'!K51+'data from JD'!P51/1000</f>
        <v>104.70027</v>
      </c>
      <c r="H51" s="2">
        <f>'data from JD'!L51+'data from JD'!R51</f>
        <v>0</v>
      </c>
    </row>
    <row r="53" spans="1:10" ht="15.75" x14ac:dyDescent="0.25">
      <c r="D53" s="11" t="s">
        <v>87</v>
      </c>
    </row>
    <row r="55" spans="1:10" x14ac:dyDescent="0.25">
      <c r="D55" s="4">
        <v>398.13362000000001</v>
      </c>
      <c r="E55" s="4">
        <v>80.599999999999994</v>
      </c>
      <c r="G55" s="4">
        <v>104.7</v>
      </c>
    </row>
  </sheetData>
  <mergeCells count="2">
    <mergeCell ref="A2:D5"/>
    <mergeCell ref="L10:P10"/>
  </mergeCells>
  <pageMargins left="0.7" right="0.7" top="0.75" bottom="0.75" header="0.3" footer="0.3"/>
  <pageSetup paperSize="17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opLeftCell="A16" workbookViewId="0">
      <selection activeCell="A44" sqref="A44:XFD44"/>
    </sheetView>
  </sheetViews>
  <sheetFormatPr defaultRowHeight="15" x14ac:dyDescent="0.25"/>
  <cols>
    <col min="1" max="1" width="38" style="4" customWidth="1"/>
    <col min="2" max="2" width="12.5703125" style="4" customWidth="1"/>
    <col min="3" max="3" width="2" style="4" customWidth="1"/>
    <col min="4" max="4" width="11.85546875" style="4" customWidth="1"/>
    <col min="5" max="5" width="13.85546875" style="4" bestFit="1" customWidth="1"/>
    <col min="6" max="6" width="11.85546875" style="4" hidden="1" customWidth="1"/>
    <col min="7" max="7" width="11.140625" style="4" customWidth="1"/>
    <col min="8" max="10" width="9.140625" style="4"/>
    <col min="11" max="11" width="2.140625" style="4" customWidth="1"/>
    <col min="12" max="16384" width="9.140625" style="4"/>
  </cols>
  <sheetData>
    <row r="1" spans="1:16" x14ac:dyDescent="0.25">
      <c r="A1" s="4" t="s">
        <v>72</v>
      </c>
    </row>
    <row r="2" spans="1:16" x14ac:dyDescent="0.25">
      <c r="A2" s="12" t="s">
        <v>73</v>
      </c>
      <c r="B2" s="12"/>
      <c r="C2" s="12"/>
      <c r="D2" s="12"/>
    </row>
    <row r="3" spans="1:16" x14ac:dyDescent="0.25">
      <c r="A3" s="12"/>
      <c r="B3" s="12"/>
      <c r="C3" s="12"/>
      <c r="D3" s="12"/>
    </row>
    <row r="4" spans="1:16" x14ac:dyDescent="0.25">
      <c r="A4" s="12"/>
      <c r="B4" s="12"/>
      <c r="C4" s="12"/>
      <c r="D4" s="12"/>
    </row>
    <row r="5" spans="1:16" x14ac:dyDescent="0.25">
      <c r="A5" s="13"/>
      <c r="B5" s="13"/>
      <c r="C5" s="13"/>
      <c r="D5" s="13"/>
    </row>
    <row r="10" spans="1:16" x14ac:dyDescent="0.25">
      <c r="A10" s="8" t="s">
        <v>30</v>
      </c>
      <c r="B10" s="6" t="s">
        <v>31</v>
      </c>
      <c r="C10" s="6"/>
      <c r="D10" s="6" t="s">
        <v>90</v>
      </c>
      <c r="E10" s="6"/>
      <c r="F10" s="6"/>
      <c r="G10" s="6"/>
      <c r="I10" s="8" t="s">
        <v>37</v>
      </c>
      <c r="K10" s="6"/>
      <c r="L10" s="14" t="s">
        <v>49</v>
      </c>
      <c r="M10" s="14"/>
      <c r="N10" s="14"/>
      <c r="O10" s="14"/>
      <c r="P10" s="14"/>
    </row>
    <row r="11" spans="1:16" x14ac:dyDescent="0.25">
      <c r="D11" s="6" t="s">
        <v>32</v>
      </c>
      <c r="E11" s="6" t="s">
        <v>13</v>
      </c>
      <c r="F11" s="6"/>
      <c r="G11" s="6" t="s">
        <v>14</v>
      </c>
      <c r="H11" s="6" t="s">
        <v>36</v>
      </c>
      <c r="I11" s="6" t="s">
        <v>34</v>
      </c>
      <c r="J11" s="6" t="s">
        <v>35</v>
      </c>
      <c r="K11" s="6"/>
      <c r="L11" s="6" t="s">
        <v>38</v>
      </c>
      <c r="M11" s="6" t="s">
        <v>39</v>
      </c>
      <c r="N11" s="6" t="s">
        <v>40</v>
      </c>
      <c r="O11" s="6" t="s">
        <v>41</v>
      </c>
      <c r="P11" s="6" t="s">
        <v>42</v>
      </c>
    </row>
    <row r="12" spans="1:16" x14ac:dyDescent="0.25">
      <c r="A12" s="4" t="s">
        <v>50</v>
      </c>
      <c r="B12" s="4" t="s">
        <v>0</v>
      </c>
      <c r="D12" s="2">
        <f>'Rel to Acc'!D12-299.09264</f>
        <v>-15.578600000000051</v>
      </c>
      <c r="E12" s="2">
        <f>'Rel to Acc'!E12-80.6</f>
        <v>-9.0000000000145519E-5</v>
      </c>
      <c r="F12" s="2">
        <f>'data from JD'!F12+'data from JD'!P12/1000</f>
        <v>1.84E-4</v>
      </c>
      <c r="G12" s="2">
        <f>'Rel to Acc'!G12-104.7</f>
        <v>1.8400000000440286E-4</v>
      </c>
      <c r="H12" s="2">
        <f>'data from JD'!L12+'data from JD'!R12</f>
        <v>-3.4399999999999999E-3</v>
      </c>
      <c r="I12" s="3">
        <v>-8.0199999999999994E-3</v>
      </c>
      <c r="J12" s="3">
        <v>2.0049999999999998E-2</v>
      </c>
    </row>
    <row r="13" spans="1:16" x14ac:dyDescent="0.25">
      <c r="A13" s="4" t="s">
        <v>51</v>
      </c>
      <c r="B13" s="4" t="s">
        <v>25</v>
      </c>
      <c r="D13" s="2">
        <f>'Rel to Acc'!D13-299.09264</f>
        <v>-1.2735999999999876</v>
      </c>
      <c r="E13" s="2">
        <f>'Rel to Acc'!E13-80.6</f>
        <v>2.0000000006348273E-5</v>
      </c>
      <c r="F13" s="2">
        <f>'data from JD'!F13+'data from JD'!P13/1000</f>
        <v>-8.9999999999999985E-6</v>
      </c>
      <c r="G13" s="2">
        <f>'Rel to Acc'!G13-104.7</f>
        <v>-9.0000000056988938E-6</v>
      </c>
      <c r="H13" s="2">
        <f>'data from JD'!L13+'data from JD'!R13</f>
        <v>3.7200000000000002E-3</v>
      </c>
      <c r="I13" s="3">
        <v>2.0100000000000001E-3</v>
      </c>
      <c r="J13" s="3">
        <v>-1.0030000000000001E-2</v>
      </c>
    </row>
    <row r="14" spans="1:16" x14ac:dyDescent="0.25">
      <c r="A14" s="4" t="s">
        <v>52</v>
      </c>
      <c r="B14" s="4" t="s">
        <v>1</v>
      </c>
      <c r="D14" s="2">
        <f>'Rel to Acc'!D14-299.09264</f>
        <v>0</v>
      </c>
      <c r="E14" s="2">
        <f>'Rel to Acc'!E14-80.6</f>
        <v>2.0000000006348273E-5</v>
      </c>
      <c r="F14" s="2">
        <f>'data from JD'!F14+'data from JD'!P14/1000</f>
        <v>0.12991100001284206</v>
      </c>
      <c r="G14" s="2">
        <f>'Rel to Acc'!G14-104.7</f>
        <v>-8.9000000002670276E-5</v>
      </c>
      <c r="H14" s="2">
        <f>'data from JD'!L14+'data from JD'!R14</f>
        <v>2.7220000000000001E-2</v>
      </c>
      <c r="I14" s="3">
        <v>2.5799999999999998E-3</v>
      </c>
      <c r="J14" s="3">
        <v>3.7200000000000002E-3</v>
      </c>
    </row>
    <row r="15" spans="1:16" x14ac:dyDescent="0.25">
      <c r="A15" s="4" t="s">
        <v>53</v>
      </c>
      <c r="B15" s="4" t="s">
        <v>12</v>
      </c>
      <c r="D15" s="2">
        <f>'Rel to Acc'!D15-299.09264</f>
        <v>0.62177999999994427</v>
      </c>
      <c r="E15" s="2">
        <f>'Rel to Acc'!E15-80.6</f>
        <v>5.0000000001659828E-5</v>
      </c>
      <c r="F15" s="2">
        <f>'data from JD'!F15+'data from JD'!P15/1000</f>
        <v>6.3399519999660399</v>
      </c>
      <c r="G15" s="2">
        <f>'Rel to Acc'!G15-104.7</f>
        <v>-4.8000000006709342E-5</v>
      </c>
      <c r="H15" s="2">
        <f>'data from JD'!L15+'data from JD'!R15</f>
        <v>4.3E-3</v>
      </c>
      <c r="I15" s="3">
        <v>2.836E-2</v>
      </c>
      <c r="J15" s="3">
        <v>-6.0200000000000002E-3</v>
      </c>
      <c r="L15" s="1">
        <v>5565.55</v>
      </c>
      <c r="M15" s="1">
        <v>10259.549999999999</v>
      </c>
      <c r="N15" s="1">
        <v>17143.525000000001</v>
      </c>
      <c r="O15" s="1">
        <v>20945.125</v>
      </c>
      <c r="P15" s="1">
        <v>24749.35</v>
      </c>
    </row>
    <row r="16" spans="1:16" x14ac:dyDescent="0.25">
      <c r="A16" s="4" t="s">
        <v>3</v>
      </c>
      <c r="B16" s="4" t="s">
        <v>2</v>
      </c>
      <c r="D16" s="2">
        <f>'Rel to Acc'!D16-299.09264</f>
        <v>6.2958859999999959</v>
      </c>
      <c r="E16" s="2">
        <f>'Rel to Acc'!E16-80.6</f>
        <v>-0.29789499999999691</v>
      </c>
      <c r="F16" s="2">
        <f>'data from JD'!F16+'data from JD'!P16/1000</f>
        <v>-35.1800740000253</v>
      </c>
      <c r="G16" s="2">
        <f>'Rel to Acc'!G16-104.7</f>
        <v>-7.3999999997909072E-5</v>
      </c>
      <c r="H16" s="2">
        <f>'data from JD'!L16+'data from JD'!R16</f>
        <v>-6.5004</v>
      </c>
      <c r="I16" s="3">
        <v>3.4399999999999999E-3</v>
      </c>
      <c r="J16" s="3">
        <v>-8.5999999999999998E-4</v>
      </c>
    </row>
    <row r="17" spans="1:16" x14ac:dyDescent="0.25">
      <c r="A17" s="4" t="s">
        <v>78</v>
      </c>
      <c r="B17" s="4" t="s">
        <v>4</v>
      </c>
      <c r="D17" s="2">
        <f>'Rel to Acc'!D17-299.09264</f>
        <v>4.0070599999999672</v>
      </c>
      <c r="E17" s="2">
        <f>'Rel to Acc'!E17-80.6</f>
        <v>-0.88180999999998733</v>
      </c>
      <c r="F17" s="2">
        <f>'data from JD'!F17+'data from JD'!P17/1000</f>
        <v>-2.7500000000000002E-4</v>
      </c>
      <c r="G17" s="2">
        <f>'Rel to Acc'!G17-104.7</f>
        <v>7.0524999999989291E-2</v>
      </c>
      <c r="H17" s="2">
        <f>'data from JD'!L17+'data from JD'!R17</f>
        <v>-8.0367370878700015</v>
      </c>
      <c r="I17" s="3">
        <v>-6.6314559800000001E-3</v>
      </c>
      <c r="J17" s="3">
        <v>-5.600031506E-2</v>
      </c>
    </row>
    <row r="18" spans="1:16" x14ac:dyDescent="0.25">
      <c r="A18" s="4" t="s">
        <v>79</v>
      </c>
      <c r="B18" s="4" t="s">
        <v>5</v>
      </c>
      <c r="D18" s="2">
        <f>'Rel to Acc'!D18-299.09264</f>
        <v>5.2956800000000044</v>
      </c>
      <c r="E18" s="2">
        <f>'Rel to Acc'!E18-80.6</f>
        <v>-1.0639099999999928</v>
      </c>
      <c r="F18" s="2">
        <f>'data from JD'!F18+'data from JD'!P18/1000</f>
        <v>-1.75E-4</v>
      </c>
      <c r="G18" s="2">
        <f>'Rel to Acc'!G18-104.7</f>
        <v>7.062499999999261E-2</v>
      </c>
      <c r="H18" s="2">
        <f>'data from JD'!L18+'data from JD'!R18</f>
        <v>-8.0411238140800005</v>
      </c>
      <c r="I18" s="3">
        <v>-6.6571393899999996E-3</v>
      </c>
      <c r="J18" s="3">
        <v>-9.3333884859999994E-2</v>
      </c>
    </row>
    <row r="19" spans="1:16" x14ac:dyDescent="0.25">
      <c r="A19" s="4" t="s">
        <v>80</v>
      </c>
      <c r="B19" s="4" t="s">
        <v>6</v>
      </c>
      <c r="D19" s="2">
        <f>'Rel to Acc'!D19-299.09264</f>
        <v>6.5773800000000051</v>
      </c>
      <c r="E19" s="2">
        <f>'Rel to Acc'!E19-80.6</f>
        <v>-1.2455099999999959</v>
      </c>
      <c r="F19" s="2">
        <f>'data from JD'!F19+'data from JD'!P19/1000</f>
        <v>0</v>
      </c>
      <c r="G19" s="2">
        <f>'Rel to Acc'!G19-104.7</f>
        <v>7.0799999999991314E-2</v>
      </c>
      <c r="H19" s="2">
        <f>'data from JD'!L19+'data from JD'!R19</f>
        <v>-8.0500000000000007</v>
      </c>
      <c r="I19" s="3">
        <v>1.724045548E-2</v>
      </c>
      <c r="J19" s="3">
        <v>-3.7333541509999998E-2</v>
      </c>
    </row>
    <row r="20" spans="1:16" x14ac:dyDescent="0.25">
      <c r="A20" s="4" t="s">
        <v>81</v>
      </c>
      <c r="B20" s="4" t="s">
        <v>7</v>
      </c>
      <c r="D20" s="2">
        <f>'Rel to Acc'!D20-299.09264</f>
        <v>7.5677800000000275</v>
      </c>
      <c r="E20" s="2">
        <f>'Rel to Acc'!E20-80.6</f>
        <v>-1.3852399999999818</v>
      </c>
      <c r="F20" s="2">
        <f>'data from JD'!F20+'data from JD'!P20/1000</f>
        <v>7.4999999999999993E-5</v>
      </c>
      <c r="G20" s="2">
        <f>'Rel to Acc'!G20-104.7</f>
        <v>7.0874999999986699E-2</v>
      </c>
      <c r="H20" s="2">
        <f>'data from JD'!L20+'data from JD'!R20</f>
        <v>-8.0500000000000007</v>
      </c>
      <c r="I20" s="3">
        <v>-1.361591731E-2</v>
      </c>
      <c r="J20" s="3">
        <v>-9.3333886869999994E-2</v>
      </c>
    </row>
    <row r="21" spans="1:16" x14ac:dyDescent="0.25">
      <c r="A21" s="4" t="s">
        <v>82</v>
      </c>
      <c r="B21" s="4" t="s">
        <v>8</v>
      </c>
      <c r="D21" s="2">
        <f>'Rel to Acc'!D21-299.09264</f>
        <v>8.6120000000000232</v>
      </c>
      <c r="E21" s="2">
        <f>'Rel to Acc'!E21-80.6</f>
        <v>-1.5329699999999917</v>
      </c>
      <c r="F21" s="2">
        <f>'data from JD'!F21+'data from JD'!P21/1000</f>
        <v>-2.2499999999999999E-4</v>
      </c>
      <c r="G21" s="2">
        <f>'Rel to Acc'!G21-104.7</f>
        <v>7.0574999999990951E-2</v>
      </c>
      <c r="H21" s="2">
        <f>'data from JD'!L21+'data from JD'!R21</f>
        <v>-8.0445013645600003</v>
      </c>
      <c r="I21" s="3">
        <v>1.374658831E-2</v>
      </c>
      <c r="J21" s="3">
        <v>-0.13066749717000001</v>
      </c>
    </row>
    <row r="22" spans="1:16" x14ac:dyDescent="0.25">
      <c r="A22" s="4" t="s">
        <v>83</v>
      </c>
      <c r="B22" s="4" t="s">
        <v>9</v>
      </c>
      <c r="D22" s="2">
        <f>'Rel to Acc'!D22-299.09264</f>
        <v>9.8067599999999402</v>
      </c>
      <c r="E22" s="2">
        <f>'Rel to Acc'!E22-80.6</f>
        <v>-1.7021299999999968</v>
      </c>
      <c r="F22" s="2">
        <f>'data from JD'!F22+'data from JD'!P22/1000</f>
        <v>-5.0000000000000001E-4</v>
      </c>
      <c r="G22" s="2">
        <f>'Rel to Acc'!G22-104.7</f>
        <v>7.0299999999988927E-2</v>
      </c>
      <c r="H22" s="2">
        <f>'data from JD'!L22+'data from JD'!R22</f>
        <v>-8.0643239474600001</v>
      </c>
      <c r="I22" s="3">
        <v>3.3422539940000003E-2</v>
      </c>
      <c r="J22" s="3">
        <v>-0.11200070193</v>
      </c>
    </row>
    <row r="23" spans="1:16" x14ac:dyDescent="0.25">
      <c r="A23" s="4" t="s">
        <v>84</v>
      </c>
      <c r="B23" s="4" t="s">
        <v>10</v>
      </c>
      <c r="D23" s="2">
        <f>'Rel to Acc'!D23-299.09264</f>
        <v>11.050810000000013</v>
      </c>
      <c r="E23" s="2">
        <f>'Rel to Acc'!E23-80.6</f>
        <v>-1.8781800000000004</v>
      </c>
      <c r="F23" s="2">
        <f>'data from JD'!F23+'data from JD'!P23/1000</f>
        <v>4.4999999999999999E-4</v>
      </c>
      <c r="G23" s="2">
        <f>'Rel to Acc'!G23-104.7</f>
        <v>7.1249999999992042E-2</v>
      </c>
      <c r="H23" s="2">
        <f>'data from JD'!L23+'data from JD'!R23</f>
        <v>-8.0593850589000002</v>
      </c>
      <c r="I23" s="3">
        <v>-2.346264583E-2</v>
      </c>
      <c r="J23" s="3">
        <v>0.11200069226999999</v>
      </c>
    </row>
    <row r="24" spans="1:16" x14ac:dyDescent="0.25">
      <c r="A24" s="4" t="s">
        <v>85</v>
      </c>
      <c r="B24" s="4" t="s">
        <v>11</v>
      </c>
      <c r="D24" s="2">
        <f>'Rel to Acc'!D24-299.09264</f>
        <v>12.471889999999973</v>
      </c>
      <c r="E24" s="2">
        <f>'Rel to Acc'!E24-80.6</f>
        <v>-2.0738599999999963</v>
      </c>
      <c r="F24" s="2">
        <f>'data from JD'!F24+'data from JD'!P24/1000</f>
        <v>1.25E-4</v>
      </c>
      <c r="G24" s="2">
        <f>'Rel to Acc'!G24-104.7</f>
        <v>7.0924999999988358E-2</v>
      </c>
      <c r="H24" s="2">
        <f>'data from JD'!L24+'data from JD'!R24</f>
        <v>-8.0435622717000008</v>
      </c>
      <c r="I24" s="3">
        <v>-1.6094320299999999E-2</v>
      </c>
      <c r="J24" s="3">
        <v>1.8666769659999999E-2</v>
      </c>
    </row>
    <row r="25" spans="1:16" x14ac:dyDescent="0.25">
      <c r="A25" s="4" t="s">
        <v>44</v>
      </c>
      <c r="B25" s="4" t="s">
        <v>43</v>
      </c>
      <c r="D25" s="2">
        <f>'Rel to Acc'!D25-299.09264</f>
        <v>7.4305419999999458</v>
      </c>
      <c r="E25" s="2">
        <f>'Rel to Acc'!E25-80.6</f>
        <v>-1.166883999999996</v>
      </c>
      <c r="F25" s="2">
        <f>'data from JD'!F25+'data from JD'!P25/1000</f>
        <v>-0.91003700003305099</v>
      </c>
      <c r="G25" s="2">
        <f>'Rel to Acc'!G25-104.7</f>
        <v>-3.7000000006059963E-5</v>
      </c>
      <c r="H25" s="2">
        <f>'data from JD'!L25+'data from JD'!R25</f>
        <v>-8.0426300000000008</v>
      </c>
      <c r="I25" s="3">
        <v>2.8600000000000001E-3</v>
      </c>
      <c r="J25" s="3">
        <v>-4.0099999999999997E-3</v>
      </c>
    </row>
    <row r="26" spans="1:16" x14ac:dyDescent="0.25">
      <c r="A26" s="4" t="s">
        <v>45</v>
      </c>
      <c r="D26" s="2">
        <f>'Rel to Acc'!D26-299.09264</f>
        <v>75.177359999999965</v>
      </c>
      <c r="E26" s="2">
        <f>'Rel to Acc'!E26-80.6</f>
        <v>7.1499999999957708E-4</v>
      </c>
      <c r="F26" s="2">
        <f>'data from JD'!F26+'data from JD'!P26/1000</f>
        <v>4.7599999999999997E-4</v>
      </c>
      <c r="G26" s="2">
        <f>'Rel to Acc'!G26-104.7</f>
        <v>4.7600000000613818E-4</v>
      </c>
      <c r="H26" s="2">
        <f>'data from JD'!L26+'data from JD'!R26</f>
        <v>0</v>
      </c>
      <c r="I26" s="3"/>
      <c r="J26" s="3"/>
    </row>
    <row r="27" spans="1:16" x14ac:dyDescent="0.25">
      <c r="A27" s="4" t="s">
        <v>54</v>
      </c>
      <c r="B27" s="4" t="s">
        <v>26</v>
      </c>
      <c r="D27" s="2">
        <f>'Rel to Acc'!D27-299.09264</f>
        <v>75.392489999999952</v>
      </c>
      <c r="E27" s="2">
        <f>'Rel to Acc'!E27-80.6</f>
        <v>0</v>
      </c>
      <c r="F27" s="2">
        <f>'data from JD'!F27+'data from JD'!P27/1000</f>
        <v>-0.89004400002670281</v>
      </c>
      <c r="G27" s="2">
        <f>'Rel to Acc'!G27-104.7</f>
        <v>-4.4000000002597517E-5</v>
      </c>
      <c r="H27" s="2">
        <f>'data from JD'!L27+'data from JD'!R27</f>
        <v>-2.5799999999999998E-3</v>
      </c>
      <c r="I27" s="3">
        <v>1.49E-2</v>
      </c>
      <c r="J27" s="3">
        <v>6.8799999999999998E-3</v>
      </c>
    </row>
    <row r="28" spans="1:16" x14ac:dyDescent="0.25">
      <c r="A28" s="4" t="s">
        <v>55</v>
      </c>
      <c r="B28" s="4" t="s">
        <v>27</v>
      </c>
      <c r="D28" s="2">
        <f>'Rel to Acc'!D28-299.09264</f>
        <v>81.280023999999969</v>
      </c>
      <c r="E28" s="2">
        <f>'Rel to Acc'!E28-80.6</f>
        <v>6.0000000004833964E-5</v>
      </c>
      <c r="F28" s="2">
        <f>'data from JD'!F28+'data from JD'!P28/1000</f>
        <v>-0.88995200002670272</v>
      </c>
      <c r="G28" s="2">
        <f>'Rel to Acc'!G28-104.7</f>
        <v>4.8000000006709342E-5</v>
      </c>
      <c r="H28" s="2">
        <f>'data from JD'!L28+'data from JD'!R28</f>
        <v>-2.0629999999999999E-2</v>
      </c>
      <c r="I28" s="3">
        <v>1.375E-2</v>
      </c>
      <c r="J28" s="3">
        <v>1.5469999999999999E-2</v>
      </c>
    </row>
    <row r="29" spans="1:16" x14ac:dyDescent="0.25">
      <c r="A29" s="4" t="s">
        <v>56</v>
      </c>
      <c r="B29" s="4" t="s">
        <v>28</v>
      </c>
      <c r="D29" s="2">
        <f>'Rel to Acc'!D29-299.09264</f>
        <v>77.691369999999949</v>
      </c>
      <c r="E29" s="2">
        <f>'Rel to Acc'!E29-80.6</f>
        <v>1.1000000000649379E-4</v>
      </c>
      <c r="F29" s="2">
        <f>'data from JD'!F29+'data from JD'!P29/1000</f>
        <v>-8.9999999999999985E-6</v>
      </c>
      <c r="G29" s="2">
        <f>'Rel to Acc'!G29-104.7</f>
        <v>-9.0000000056988938E-6</v>
      </c>
      <c r="H29" s="2">
        <f>'data from JD'!L29+'data from JD'!R29</f>
        <v>-8.5999999999999998E-4</v>
      </c>
      <c r="I29" s="3">
        <v>3.15E-3</v>
      </c>
      <c r="J29" s="3">
        <v>2.8649999999999998E-2</v>
      </c>
    </row>
    <row r="30" spans="1:16" x14ac:dyDescent="0.25">
      <c r="A30" s="4" t="s">
        <v>57</v>
      </c>
      <c r="B30" s="4" t="s">
        <v>29</v>
      </c>
      <c r="D30" s="2">
        <f>'Rel to Acc'!D30-299.09264</f>
        <v>82.046695999999997</v>
      </c>
      <c r="E30" s="2">
        <f>'Rel to Acc'!E30-80.6</f>
        <v>1.0000000003174137E-5</v>
      </c>
      <c r="F30" s="2">
        <f>'data from JD'!F30+'data from JD'!P30/1000</f>
        <v>3.1999999999999999E-5</v>
      </c>
      <c r="G30" s="2">
        <f>'Rel to Acc'!G30-104.7</f>
        <v>3.2000000004472895E-5</v>
      </c>
      <c r="H30" s="2">
        <f>'data from JD'!L30+'data from JD'!R30</f>
        <v>-7.7299999999999999E-3</v>
      </c>
      <c r="I30" s="3">
        <v>2.034E-2</v>
      </c>
      <c r="J30" s="3">
        <v>-5.4400000000000004E-3</v>
      </c>
    </row>
    <row r="31" spans="1:16" x14ac:dyDescent="0.25">
      <c r="A31" s="4" t="s">
        <v>58</v>
      </c>
      <c r="B31" s="4" t="s">
        <v>23</v>
      </c>
      <c r="D31" s="2">
        <f>'Rel to Acc'!D31-299.09264</f>
        <v>86.138089999999977</v>
      </c>
      <c r="E31" s="2">
        <f>'Rel to Acc'!E31-80.6</f>
        <v>3.9999999998485691E-5</v>
      </c>
      <c r="F31" s="2">
        <f>'data from JD'!F31+'data from JD'!P31/1000</f>
        <v>-0.12002400003808963</v>
      </c>
      <c r="G31" s="2">
        <f>'Rel to Acc'!G31-104.7</f>
        <v>-2.3999999996249244E-5</v>
      </c>
      <c r="H31" s="2">
        <f>'data from JD'!L31+'data from JD'!R31</f>
        <v>-1.261E-2</v>
      </c>
      <c r="I31" s="3">
        <v>-2.2630000000000001E-2</v>
      </c>
      <c r="J31" s="3">
        <v>7.45E-3</v>
      </c>
      <c r="L31" s="4">
        <v>5270</v>
      </c>
      <c r="M31" s="4">
        <v>10002</v>
      </c>
      <c r="N31" s="4">
        <v>16845</v>
      </c>
      <c r="O31" s="4">
        <v>20638</v>
      </c>
      <c r="P31" s="4">
        <v>24431</v>
      </c>
    </row>
    <row r="32" spans="1:16" x14ac:dyDescent="0.25">
      <c r="A32" s="4" t="s">
        <v>59</v>
      </c>
      <c r="B32" s="4" t="s">
        <v>22</v>
      </c>
      <c r="D32" s="2">
        <f>'Rel to Acc'!D32-299.09264</f>
        <v>87.674599999999998</v>
      </c>
      <c r="E32" s="2">
        <f>'Rel to Acc'!E32-80.6</f>
        <v>-3.9999999998485691E-5</v>
      </c>
      <c r="F32" s="2">
        <f>'data from JD'!F32+'data from JD'!P32/1000</f>
        <v>0.17991300000029103</v>
      </c>
      <c r="G32" s="2">
        <f>'Rel to Acc'!G32-104.7</f>
        <v>-8.6999999993508936E-5</v>
      </c>
      <c r="H32" s="2">
        <f>'data from JD'!L32+'data from JD'!R32</f>
        <v>-1.15E-3</v>
      </c>
      <c r="I32" s="3">
        <v>8.5900000000000004E-3</v>
      </c>
      <c r="J32" s="3">
        <v>5.6999999999999998E-4</v>
      </c>
    </row>
    <row r="33" spans="1:10" x14ac:dyDescent="0.25">
      <c r="A33" s="4" t="s">
        <v>60</v>
      </c>
      <c r="B33" s="4" t="s">
        <v>20</v>
      </c>
      <c r="D33" s="2">
        <f>'Rel to Acc'!D33-299.09264</f>
        <v>90.595174999999983</v>
      </c>
      <c r="E33" s="2">
        <f>'Rel to Acc'!E33-80.6</f>
        <v>-0.36140899999999476</v>
      </c>
      <c r="F33" s="2">
        <f>'data from JD'!F33+'data from JD'!P33/1000</f>
        <v>0.18153199999524153</v>
      </c>
      <c r="G33" s="2">
        <f>'Rel to Acc'!G33-104.7</f>
        <v>-4.6799999999791453E-4</v>
      </c>
      <c r="H33" s="2">
        <f>'data from JD'!L33+'data from JD'!R33</f>
        <v>-4.6595800000000001</v>
      </c>
      <c r="I33" s="3">
        <v>8.0500000000000002E-2</v>
      </c>
      <c r="J33" s="3">
        <v>-0.15642</v>
      </c>
    </row>
    <row r="34" spans="1:10" x14ac:dyDescent="0.25">
      <c r="A34" s="4" t="s">
        <v>61</v>
      </c>
      <c r="B34" s="4" t="s">
        <v>21</v>
      </c>
      <c r="D34" s="2">
        <f>'Rel to Acc'!D34-299.09264</f>
        <v>90.594511999999952</v>
      </c>
      <c r="E34" s="2">
        <f>'Rel to Acc'!E34-80.6</f>
        <v>0.36017900000001646</v>
      </c>
      <c r="F34" s="2">
        <f>'data from JD'!F34+'data from JD'!P34/1000</f>
        <v>0.18081299999524153</v>
      </c>
      <c r="G34" s="2">
        <f>'Rel to Acc'!G34-104.7</f>
        <v>-1.1870000000016034E-3</v>
      </c>
      <c r="H34" s="2">
        <f>'data from JD'!L34+'data from JD'!R34</f>
        <v>4.5707700000000004</v>
      </c>
      <c r="I34" s="3">
        <v>-0.13464999999999999</v>
      </c>
      <c r="J34" s="3">
        <v>3.0939999999999999E-2</v>
      </c>
    </row>
    <row r="35" spans="1:10" x14ac:dyDescent="0.25">
      <c r="A35" s="4" t="s">
        <v>62</v>
      </c>
      <c r="B35" s="2" t="s">
        <v>92</v>
      </c>
      <c r="D35" s="2">
        <f>'Rel to Acc'!D35-299.09264</f>
        <v>90.98470999999995</v>
      </c>
      <c r="E35" s="2">
        <f>'Rel to Acc'!E35-80.6</f>
        <v>-0.26569000000000642</v>
      </c>
      <c r="F35" s="2">
        <f>'data from JD'!F35+'data from JD'!P35/1000</f>
        <v>0.18167999999524154</v>
      </c>
      <c r="G35" s="2">
        <f>'Rel to Acc'!G35-104.7</f>
        <v>-3.2000000000209639E-4</v>
      </c>
      <c r="H35" s="2">
        <f>'data from JD'!L35+'data from JD'!R35</f>
        <v>-4.7606999999999999</v>
      </c>
      <c r="I35" s="3"/>
      <c r="J35" s="3"/>
    </row>
    <row r="36" spans="1:10" x14ac:dyDescent="0.25">
      <c r="A36" s="4" t="s">
        <v>63</v>
      </c>
      <c r="B36" s="2" t="s">
        <v>91</v>
      </c>
      <c r="D36" s="2">
        <f>'Rel to Acc'!D36-299.09264</f>
        <v>90.984249999999975</v>
      </c>
      <c r="E36" s="2">
        <f>'Rel to Acc'!E36-80.6</f>
        <v>0.26498999999999739</v>
      </c>
      <c r="F36" s="2">
        <f>'data from JD'!F36+'data from JD'!P36/1000</f>
        <v>0.18207999999524152</v>
      </c>
      <c r="G36" s="2">
        <f>'Rel to Acc'!G36-104.7</f>
        <v>7.9999999996971383E-5</v>
      </c>
      <c r="H36" s="2">
        <f>'data from JD'!L36+'data from JD'!R36</f>
        <v>4.9527999999999999</v>
      </c>
      <c r="I36" s="3"/>
      <c r="J36" s="3"/>
    </row>
    <row r="37" spans="1:10" x14ac:dyDescent="0.25">
      <c r="A37" s="4" t="s">
        <v>64</v>
      </c>
      <c r="D37" s="2">
        <f>'Rel to Acc'!D37-299.09264</f>
        <v>96.757360000000006</v>
      </c>
      <c r="E37" s="2">
        <f>'Rel to Acc'!E37-80.6</f>
        <v>-1.9000000000346517E-4</v>
      </c>
      <c r="F37" s="2">
        <f>'data from JD'!F37+'data from JD'!P37/1000</f>
        <v>-5.0000000000000002E-5</v>
      </c>
      <c r="G37" s="2">
        <f>'Rel to Acc'!G37-104.7</f>
        <v>-5.0000000001659828E-5</v>
      </c>
      <c r="H37" s="2">
        <f>'data from JD'!L37+'data from JD'!R37</f>
        <v>0</v>
      </c>
    </row>
    <row r="38" spans="1:10" x14ac:dyDescent="0.25">
      <c r="A38" s="4" t="s">
        <v>65</v>
      </c>
      <c r="B38" s="4" t="s">
        <v>24</v>
      </c>
      <c r="D38" s="2">
        <f>'Rel to Acc'!D38-299.09264</f>
        <v>100.93574999999998</v>
      </c>
      <c r="E38" s="2">
        <f>'Rel to Acc'!E38-80.6</f>
        <v>0</v>
      </c>
      <c r="F38" s="2">
        <f>'data from JD'!F38+'data from JD'!P38/1000</f>
        <v>6.0600139999340072</v>
      </c>
      <c r="G38" s="2">
        <f>'Rel to Acc'!G38-104.7</f>
        <v>1.3999999993075107E-5</v>
      </c>
      <c r="H38" s="2">
        <f>'data from JD'!L38+'data from JD'!R38</f>
        <v>1.7760000000000001E-2</v>
      </c>
      <c r="I38" s="3">
        <v>1.289E-2</v>
      </c>
      <c r="J38" s="3">
        <v>2.0100000000000001E-3</v>
      </c>
    </row>
    <row r="39" spans="1:10" x14ac:dyDescent="0.25">
      <c r="A39" s="4" t="s">
        <v>66</v>
      </c>
      <c r="B39" s="4" t="s">
        <v>46</v>
      </c>
      <c r="D39" s="2">
        <f>'Rel to Acc'!D39-299.09264</f>
        <v>101.16386</v>
      </c>
      <c r="E39" s="2">
        <f>'Rel to Acc'!E39-80.6</f>
        <v>1.0300000000000864E-3</v>
      </c>
      <c r="F39" s="2">
        <f>'data from JD'!F39+'data from JD'!P39/1000</f>
        <v>6.1090199999782993</v>
      </c>
      <c r="G39" s="2">
        <f>'Rel to Acc'!G39-104.7</f>
        <v>-9.7999999999842657E-4</v>
      </c>
      <c r="H39" s="2">
        <f>'data from JD'!L39+'data from JD'!R39</f>
        <v>1.6330000000000001E-2</v>
      </c>
      <c r="I39" s="3">
        <v>4.24E-2</v>
      </c>
      <c r="J39" s="3">
        <v>4.5799999999999999E-3</v>
      </c>
    </row>
    <row r="40" spans="1:10" x14ac:dyDescent="0.25">
      <c r="A40" s="4" t="s">
        <v>67</v>
      </c>
      <c r="B40" s="4" t="s">
        <v>18</v>
      </c>
      <c r="D40" s="2">
        <f>'Rel to Acc'!D40-299.09264</f>
        <v>99.691349999999943</v>
      </c>
      <c r="E40" s="2">
        <f>'Rel to Acc'!E40-80.6</f>
        <v>3.5900000000026466E-3</v>
      </c>
      <c r="F40" s="2">
        <f>'data from JD'!F40+'data from JD'!P40/1000</f>
        <v>0.18101200000029105</v>
      </c>
      <c r="G40" s="2">
        <f>'Rel to Acc'!G40-104.7</f>
        <v>1.0120000000028995E-3</v>
      </c>
      <c r="H40" s="2">
        <f>'data from JD'!L40+'data from JD'!R40</f>
        <v>5.4140000000000001E-2</v>
      </c>
      <c r="I40" s="3">
        <v>-2.6069999999999999E-2</v>
      </c>
      <c r="J40" s="3">
        <v>-1.8982699999999999</v>
      </c>
    </row>
    <row r="41" spans="1:10" x14ac:dyDescent="0.25">
      <c r="A41" s="4" t="s">
        <v>86</v>
      </c>
      <c r="B41" s="4" t="s">
        <v>19</v>
      </c>
      <c r="C41" s="2" t="s">
        <v>47</v>
      </c>
      <c r="D41" s="2">
        <f>'Rel to Acc'!D41-299.09264</f>
        <v>99.352949999999964</v>
      </c>
      <c r="E41" s="2">
        <f>'Rel to Acc'!E41-80.6</f>
        <v>1.1499999999955435E-3</v>
      </c>
      <c r="F41" s="2">
        <f>'data from JD'!F41+'data from JD'!P41/1000</f>
        <v>356.07161199998836</v>
      </c>
      <c r="G41" s="2">
        <f>'Rel to Acc'!G41-104.7</f>
        <v>1.6119999999943957E-3</v>
      </c>
      <c r="H41" s="2">
        <f>'data from JD'!L41+'data from JD'!R41</f>
        <v>-8.5379999999999998E-2</v>
      </c>
      <c r="I41" s="3">
        <v>-0.61192999999999997</v>
      </c>
      <c r="J41" s="3">
        <v>0.75231999999999999</v>
      </c>
    </row>
    <row r="42" spans="1:10" x14ac:dyDescent="0.25">
      <c r="A42" s="4" t="s">
        <v>98</v>
      </c>
      <c r="C42" s="2"/>
      <c r="D42" s="2">
        <f>'Rel to Acc'!D42-299.09264</f>
        <v>99.440249999999992</v>
      </c>
      <c r="E42" s="2">
        <f>'Rel to Acc'!E42-80.6</f>
        <v>1.0199085912603323E-3</v>
      </c>
      <c r="F42" s="2">
        <f>'data from JD'!F42+'data from JD'!P42/1000</f>
        <v>6.7963467091822368E-4</v>
      </c>
      <c r="G42" s="2">
        <f>'Rel to Acc'!G42-104.7</f>
        <v>6.7963467091658458E-4</v>
      </c>
      <c r="H42" s="2">
        <f>'data from JD'!L42+'data from JD'!R42</f>
        <v>0</v>
      </c>
      <c r="I42" s="3">
        <v>0</v>
      </c>
      <c r="J42" s="3">
        <v>0.75231999999999999</v>
      </c>
    </row>
    <row r="43" spans="1:10" x14ac:dyDescent="0.25">
      <c r="A43" s="4" t="s">
        <v>99</v>
      </c>
      <c r="C43" s="2"/>
      <c r="D43" s="2">
        <f>'Rel to Acc'!D43-299.09264</f>
        <v>100.02713999999997</v>
      </c>
      <c r="E43" s="2">
        <f>'Rel to Acc'!E43-80.6</f>
        <v>1.4534234759366882E-4</v>
      </c>
      <c r="F43" s="2">
        <f>'data from JD'!F43+'data from JD'!P43/1000</f>
        <v>-5.5883829601072943E-3</v>
      </c>
      <c r="G43" s="2">
        <f>'Rel to Acc'!G43-104.7</f>
        <v>-5.5883829601128809E-3</v>
      </c>
      <c r="H43" s="2">
        <f>'data from JD'!L43+'data from JD'!R43</f>
        <v>0</v>
      </c>
      <c r="I43" s="3">
        <v>0</v>
      </c>
      <c r="J43" s="3">
        <v>0.75231999999999999</v>
      </c>
    </row>
    <row r="44" spans="1:10" x14ac:dyDescent="0.25">
      <c r="A44" s="4" t="s">
        <v>124</v>
      </c>
      <c r="D44" s="2">
        <f>'Rel to Acc'!D44-299.09264</f>
        <v>100.86849999999998</v>
      </c>
      <c r="E44" s="2">
        <f>'Rel to Acc'!E44-80.6</f>
        <v>-9.0000000000145519E-4</v>
      </c>
      <c r="F44" s="2" t="e">
        <f>'data from JD'!#REF!+'data from JD'!#REF!/1000</f>
        <v>#REF!</v>
      </c>
      <c r="G44" s="2">
        <f>'Rel to Acc'!G44-104.7</f>
        <v>3.2899999999358442E-4</v>
      </c>
      <c r="H44" s="2">
        <v>1.6330000000000001E-2</v>
      </c>
      <c r="I44" s="3">
        <v>-4.9270000000000001E-2</v>
      </c>
      <c r="J44" s="3">
        <v>8.8239999999999999E-2</v>
      </c>
    </row>
    <row r="45" spans="1:10" x14ac:dyDescent="0.25">
      <c r="A45" s="4" t="s">
        <v>125</v>
      </c>
      <c r="D45" s="2">
        <f>'Rel to Acc'!D45-299.09264</f>
        <v>101.45420000000001</v>
      </c>
      <c r="E45" s="2">
        <f>'Rel to Acc'!E45-80.6</f>
        <v>-6.900000000058526E-4</v>
      </c>
      <c r="F45" s="2">
        <f>'data from JD'!F48+'data from JD'!P48/1000</f>
        <v>6.4099349999598365</v>
      </c>
      <c r="G45" s="2">
        <f>'Rel to Acc'!G45-104.7</f>
        <v>-5.7999999995672624E-5</v>
      </c>
      <c r="H45" s="2">
        <v>2.2630000000000001E-2</v>
      </c>
      <c r="I45" s="3">
        <v>-3.524E-2</v>
      </c>
      <c r="J45" s="3">
        <v>8.8800000000000007E-3</v>
      </c>
    </row>
    <row r="46" spans="1:10" x14ac:dyDescent="0.25">
      <c r="A46" s="4" t="s">
        <v>126</v>
      </c>
      <c r="D46" s="2">
        <f>'Rel to Acc'!D46-299.09264</f>
        <v>102.04008999999996</v>
      </c>
      <c r="E46" s="2">
        <f>'Rel to Acc'!E46-80.6</f>
        <v>1.0000000003174137E-5</v>
      </c>
      <c r="F46" s="2">
        <f>'data from JD'!F49+'data from JD'!P49/1000</f>
        <v>0.17997900000029105</v>
      </c>
      <c r="G46" s="2">
        <f>'Rel to Acc'!G46-104.7</f>
        <v>-3.2500000000368345E-4</v>
      </c>
      <c r="H46" s="2">
        <v>2.9219999999999999E-2</v>
      </c>
      <c r="I46" s="3">
        <v>-6.8180000000000004E-2</v>
      </c>
      <c r="J46" s="3">
        <v>2.9510000000000002E-2</v>
      </c>
    </row>
    <row r="47" spans="1:10" x14ac:dyDescent="0.25">
      <c r="A47" s="4" t="s">
        <v>127</v>
      </c>
      <c r="D47" s="2">
        <f>'Rel to Acc'!D47-299.09264</f>
        <v>102.42683999999997</v>
      </c>
      <c r="E47" s="2">
        <f>'Rel to Acc'!E47-80.6</f>
        <v>1.8000000000029104E-4</v>
      </c>
      <c r="F47" s="2">
        <f>'data from JD'!F50+'data from JD'!P50/1000</f>
        <v>0.18225100000029104</v>
      </c>
      <c r="G47" s="2">
        <f>'Rel to Acc'!G47-104.7</f>
        <v>2.3099999999942611E-4</v>
      </c>
      <c r="H47" s="2">
        <v>-1.72E-3</v>
      </c>
      <c r="I47" s="3">
        <v>0.10972</v>
      </c>
      <c r="J47" s="3">
        <v>6.5900000000000004E-3</v>
      </c>
    </row>
    <row r="48" spans="1:10" x14ac:dyDescent="0.25">
      <c r="A48" s="4" t="s">
        <v>68</v>
      </c>
      <c r="B48" s="4" t="s">
        <v>17</v>
      </c>
      <c r="D48" s="2">
        <f>'Rel to Acc'!D48-299.09264</f>
        <v>99.972829999999988</v>
      </c>
      <c r="E48" s="2">
        <f>'Rel to Acc'!E48-80.6</f>
        <v>6.9999999993797246E-5</v>
      </c>
      <c r="F48" s="2">
        <f>'data from JD'!F48+'data from JD'!P48/1000</f>
        <v>6.4099349999598365</v>
      </c>
      <c r="G48" s="2">
        <f>'Rel to Acc'!G48-104.7</f>
        <v>-6.5000000006421033E-5</v>
      </c>
      <c r="H48" s="2">
        <f>'data from JD'!L48+'data from JD'!R48</f>
        <v>2.8600000000000001E-3</v>
      </c>
      <c r="I48" s="3">
        <v>-2.3199999999999998E-2</v>
      </c>
      <c r="J48" s="3">
        <v>4.7840000000000001E-2</v>
      </c>
    </row>
    <row r="49" spans="1:10" x14ac:dyDescent="0.25">
      <c r="A49" s="4" t="s">
        <v>69</v>
      </c>
      <c r="B49" s="4" t="s">
        <v>15</v>
      </c>
      <c r="D49" s="2">
        <f>'Rel to Acc'!D49-299.09264</f>
        <v>105.29503999999997</v>
      </c>
      <c r="E49" s="2">
        <f>'Rel to Acc'!E49-80.6</f>
        <v>5.2900000000022374E-3</v>
      </c>
      <c r="F49" s="2">
        <f>'data from JD'!F49+'data from JD'!P49/1000</f>
        <v>0.17997900000029105</v>
      </c>
      <c r="G49" s="2">
        <f>'Rel to Acc'!G49-104.7</f>
        <v>-2.1000000003823516E-5</v>
      </c>
      <c r="H49" s="2">
        <f>'data from JD'!L49+'data from JD'!R49</f>
        <v>-7.0190000000000002E-2</v>
      </c>
      <c r="I49" s="3">
        <v>4.1829999999999999E-2</v>
      </c>
      <c r="J49" s="3">
        <v>-1.49E-2</v>
      </c>
    </row>
    <row r="50" spans="1:10" x14ac:dyDescent="0.25">
      <c r="A50" s="4" t="s">
        <v>70</v>
      </c>
      <c r="B50" s="4" t="s">
        <v>16</v>
      </c>
      <c r="D50" s="2">
        <f>'Rel to Acc'!D50-299.09264</f>
        <v>105.10390999999998</v>
      </c>
      <c r="E50" s="2">
        <f>'Rel to Acc'!E50-80.6</f>
        <v>3.0799999999970851E-3</v>
      </c>
      <c r="F50" s="2">
        <f>'data from JD'!F50+'data from JD'!P50/1000</f>
        <v>0.18225100000029104</v>
      </c>
      <c r="G50" s="2">
        <f>'Rel to Acc'!G50-104.7</f>
        <v>2.2510000000011132E-3</v>
      </c>
      <c r="H50" s="2">
        <f>'data from JD'!L50+'data from JD'!R50</f>
        <v>4.6120000000000001E-2</v>
      </c>
      <c r="I50" s="3">
        <v>4.2689999999999999E-2</v>
      </c>
      <c r="J50" s="3">
        <v>-0.18134</v>
      </c>
    </row>
    <row r="51" spans="1:10" x14ac:dyDescent="0.25">
      <c r="A51" s="4" t="s">
        <v>71</v>
      </c>
      <c r="D51" s="2">
        <f>'Rel to Acc'!D51-299.09264</f>
        <v>115.99735999999996</v>
      </c>
      <c r="E51" s="2">
        <f>'Rel to Acc'!E51-80.6</f>
        <v>-2.9999999995311555E-5</v>
      </c>
      <c r="F51" s="2">
        <f>'data from JD'!F51+'data from JD'!P51/1000</f>
        <v>2.7E-4</v>
      </c>
      <c r="G51" s="2">
        <f>'Rel to Acc'!G51-104.7</f>
        <v>2.7000000000043656E-4</v>
      </c>
      <c r="H51" s="2">
        <f>'data from JD'!L51+'data from JD'!R51</f>
        <v>0</v>
      </c>
    </row>
    <row r="53" spans="1:10" ht="15.75" x14ac:dyDescent="0.25">
      <c r="D53" s="11" t="s">
        <v>87</v>
      </c>
    </row>
    <row r="55" spans="1:10" x14ac:dyDescent="0.25">
      <c r="D55" s="4">
        <v>398.13362000000001</v>
      </c>
      <c r="E55" s="4">
        <v>80.599999999999994</v>
      </c>
      <c r="G55" s="4">
        <v>104.7</v>
      </c>
    </row>
  </sheetData>
  <mergeCells count="2">
    <mergeCell ref="A2:D5"/>
    <mergeCell ref="L10:P10"/>
  </mergeCells>
  <pageMargins left="0.7" right="0.7" top="0.75" bottom="0.75" header="0.3" footer="0.3"/>
  <pageSetup paperSize="17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opLeftCell="A17" workbookViewId="0">
      <selection activeCell="A44" sqref="A44:XFD44"/>
    </sheetView>
  </sheetViews>
  <sheetFormatPr defaultRowHeight="15" x14ac:dyDescent="0.25"/>
  <cols>
    <col min="1" max="1" width="38" style="4" customWidth="1"/>
    <col min="2" max="2" width="12.5703125" style="4" customWidth="1"/>
    <col min="3" max="3" width="2" style="4" customWidth="1"/>
    <col min="4" max="4" width="11.7109375" style="4" customWidth="1"/>
    <col min="5" max="5" width="13.85546875" style="4" bestFit="1" customWidth="1"/>
    <col min="6" max="6" width="11.85546875" style="4" hidden="1" customWidth="1"/>
    <col min="7" max="7" width="11.140625" style="4" customWidth="1"/>
    <col min="8" max="10" width="9.140625" style="4"/>
    <col min="11" max="11" width="2.140625" style="4" customWidth="1"/>
    <col min="12" max="16384" width="9.140625" style="4"/>
  </cols>
  <sheetData>
    <row r="1" spans="1:16" x14ac:dyDescent="0.25">
      <c r="A1" s="4" t="s">
        <v>72</v>
      </c>
    </row>
    <row r="2" spans="1:16" x14ac:dyDescent="0.25">
      <c r="A2" s="12" t="s">
        <v>95</v>
      </c>
      <c r="B2" s="12"/>
      <c r="C2" s="12"/>
      <c r="D2" s="12"/>
    </row>
    <row r="3" spans="1:16" x14ac:dyDescent="0.25">
      <c r="A3" s="12"/>
      <c r="B3" s="12"/>
      <c r="C3" s="12"/>
      <c r="D3" s="12"/>
    </row>
    <row r="4" spans="1:16" x14ac:dyDescent="0.25">
      <c r="A4" s="12"/>
      <c r="B4" s="12"/>
      <c r="C4" s="12"/>
      <c r="D4" s="12"/>
    </row>
    <row r="5" spans="1:16" x14ac:dyDescent="0.25">
      <c r="A5" s="13"/>
      <c r="B5" s="13"/>
      <c r="C5" s="13"/>
      <c r="D5" s="13"/>
    </row>
    <row r="6" spans="1:16" x14ac:dyDescent="0.25">
      <c r="A6" s="13"/>
      <c r="B6" s="13"/>
      <c r="C6" s="13"/>
      <c r="D6" s="13"/>
    </row>
    <row r="10" spans="1:16" x14ac:dyDescent="0.25">
      <c r="A10" s="8" t="s">
        <v>30</v>
      </c>
      <c r="B10" s="6" t="s">
        <v>31</v>
      </c>
      <c r="C10" s="6"/>
      <c r="D10" s="6" t="s">
        <v>90</v>
      </c>
      <c r="E10" s="6"/>
      <c r="F10" s="6"/>
      <c r="G10" s="6"/>
      <c r="I10" s="8" t="s">
        <v>37</v>
      </c>
      <c r="K10" s="6"/>
      <c r="L10" s="14" t="s">
        <v>49</v>
      </c>
      <c r="M10" s="14"/>
      <c r="N10" s="14"/>
      <c r="O10" s="14"/>
      <c r="P10" s="14"/>
    </row>
    <row r="11" spans="1:16" x14ac:dyDescent="0.25">
      <c r="D11" s="6" t="s">
        <v>32</v>
      </c>
      <c r="E11" s="6" t="s">
        <v>13</v>
      </c>
      <c r="F11" s="6"/>
      <c r="G11" s="6" t="s">
        <v>14</v>
      </c>
      <c r="H11" s="6" t="s">
        <v>36</v>
      </c>
      <c r="I11" s="6" t="s">
        <v>34</v>
      </c>
      <c r="J11" s="6" t="s">
        <v>35</v>
      </c>
      <c r="K11" s="6"/>
      <c r="L11" s="6" t="s">
        <v>38</v>
      </c>
      <c r="M11" s="6" t="s">
        <v>39</v>
      </c>
      <c r="N11" s="6" t="s">
        <v>40</v>
      </c>
      <c r="O11" s="6" t="s">
        <v>41</v>
      </c>
      <c r="P11" s="6" t="s">
        <v>42</v>
      </c>
    </row>
    <row r="12" spans="1:16" x14ac:dyDescent="0.25">
      <c r="A12" s="4" t="s">
        <v>50</v>
      </c>
      <c r="B12" s="4" t="s">
        <v>0</v>
      </c>
      <c r="D12" s="2">
        <f>'Rel to Acc'!D12-'Rel to HD 0,0'!$D$55</f>
        <v>-114.61958000000004</v>
      </c>
      <c r="E12" s="2">
        <f>'Rel to Acc'!E12-80.6</f>
        <v>-9.0000000000145519E-5</v>
      </c>
      <c r="F12" s="2">
        <f>'data from JD'!F12+'data from JD'!P12/1000</f>
        <v>1.84E-4</v>
      </c>
      <c r="G12" s="2">
        <f>'Rel to Acc'!G12-104.7</f>
        <v>1.8400000000440286E-4</v>
      </c>
      <c r="H12" s="2">
        <f>'data from JD'!L12+'data from JD'!R12</f>
        <v>-3.4399999999999999E-3</v>
      </c>
      <c r="I12" s="3">
        <v>-8.0199999999999994E-3</v>
      </c>
      <c r="J12" s="3">
        <v>2.0049999999999998E-2</v>
      </c>
    </row>
    <row r="13" spans="1:16" x14ac:dyDescent="0.25">
      <c r="A13" s="4" t="s">
        <v>51</v>
      </c>
      <c r="B13" s="4" t="s">
        <v>25</v>
      </c>
      <c r="D13" s="2">
        <f>'Rel to Acc'!D13-'Rel to HD 0,0'!$D$55</f>
        <v>-100.31457999999998</v>
      </c>
      <c r="E13" s="2">
        <f>'Rel to Acc'!E13-80.6</f>
        <v>2.0000000006348273E-5</v>
      </c>
      <c r="F13" s="2">
        <f>'data from JD'!F13+'data from JD'!P13/1000</f>
        <v>-8.9999999999999985E-6</v>
      </c>
      <c r="G13" s="2">
        <f>'Rel to Acc'!G13-104.7</f>
        <v>-9.0000000056988938E-6</v>
      </c>
      <c r="H13" s="2">
        <f>'data from JD'!L13+'data from JD'!R13</f>
        <v>3.7200000000000002E-3</v>
      </c>
      <c r="I13" s="3">
        <v>2.0100000000000001E-3</v>
      </c>
      <c r="J13" s="3">
        <v>-1.0030000000000001E-2</v>
      </c>
    </row>
    <row r="14" spans="1:16" x14ac:dyDescent="0.25">
      <c r="A14" s="4" t="s">
        <v>52</v>
      </c>
      <c r="B14" s="4" t="s">
        <v>1</v>
      </c>
      <c r="D14" s="2">
        <f>'Rel to Acc'!D14-'Rel to HD 0,0'!$D$55</f>
        <v>-99.04097999999999</v>
      </c>
      <c r="E14" s="2">
        <f>'Rel to Acc'!E14-80.6</f>
        <v>2.0000000006348273E-5</v>
      </c>
      <c r="F14" s="2">
        <f>'data from JD'!F14+'data from JD'!P14/1000</f>
        <v>0.12991100001284206</v>
      </c>
      <c r="G14" s="2">
        <f>'Rel to Acc'!G14-104.7</f>
        <v>-8.9000000002670276E-5</v>
      </c>
      <c r="H14" s="2">
        <f>'data from JD'!L14+'data from JD'!R14</f>
        <v>2.7220000000000001E-2</v>
      </c>
      <c r="I14" s="3">
        <v>2.5799999999999998E-3</v>
      </c>
      <c r="J14" s="3">
        <v>3.7200000000000002E-3</v>
      </c>
    </row>
    <row r="15" spans="1:16" x14ac:dyDescent="0.25">
      <c r="A15" s="4" t="s">
        <v>53</v>
      </c>
      <c r="B15" s="4" t="s">
        <v>12</v>
      </c>
      <c r="D15" s="2">
        <f>'Rel to Acc'!D15-'Rel to HD 0,0'!$D$55</f>
        <v>-98.419200000000046</v>
      </c>
      <c r="E15" s="2">
        <f>'Rel to Acc'!E15-80.6</f>
        <v>5.0000000001659828E-5</v>
      </c>
      <c r="F15" s="2">
        <f>'data from JD'!F15+'data from JD'!P15/1000</f>
        <v>6.3399519999660399</v>
      </c>
      <c r="G15" s="2">
        <f>'Rel to Acc'!G15-104.7</f>
        <v>-4.8000000006709342E-5</v>
      </c>
      <c r="H15" s="2">
        <f>'data from JD'!L15+'data from JD'!R15</f>
        <v>4.3E-3</v>
      </c>
      <c r="I15" s="3">
        <v>2.836E-2</v>
      </c>
      <c r="J15" s="3">
        <v>-6.0200000000000002E-3</v>
      </c>
      <c r="L15" s="1">
        <v>5565.55</v>
      </c>
      <c r="M15" s="1">
        <v>10259.549999999999</v>
      </c>
      <c r="N15" s="1">
        <v>17143.525000000001</v>
      </c>
      <c r="O15" s="1">
        <v>20945.125</v>
      </c>
      <c r="P15" s="1">
        <v>24749.35</v>
      </c>
    </row>
    <row r="16" spans="1:16" x14ac:dyDescent="0.25">
      <c r="A16" s="4" t="s">
        <v>94</v>
      </c>
      <c r="B16" s="4" t="s">
        <v>2</v>
      </c>
      <c r="D16" s="2">
        <f>'Rel to Acc'!D16-'Rel to HD 0,0'!$D$55</f>
        <v>-92.745093999999995</v>
      </c>
      <c r="E16" s="2">
        <f>'Rel to Acc'!E16-80.6</f>
        <v>-0.29789499999999691</v>
      </c>
      <c r="F16" s="2">
        <f>'data from JD'!F16+'data from JD'!P16/1000</f>
        <v>-35.1800740000253</v>
      </c>
      <c r="G16" s="2">
        <f>'Rel to Acc'!G16-104.7</f>
        <v>-7.3999999997909072E-5</v>
      </c>
      <c r="H16" s="2">
        <f>'data from JD'!L16+'data from JD'!R16</f>
        <v>-6.5004</v>
      </c>
      <c r="I16" s="3">
        <v>3.4399999999999999E-3</v>
      </c>
      <c r="J16" s="3">
        <v>-8.5999999999999998E-4</v>
      </c>
    </row>
    <row r="17" spans="1:16" x14ac:dyDescent="0.25">
      <c r="A17" s="4" t="s">
        <v>78</v>
      </c>
      <c r="B17" s="4" t="s">
        <v>4</v>
      </c>
      <c r="D17" s="2">
        <f>'Rel to Acc'!D17-'Rel to HD 0,0'!$D$55</f>
        <v>-95.033920000000023</v>
      </c>
      <c r="E17" s="2">
        <f>'Rel to Acc'!E17-80.6</f>
        <v>-0.88180999999998733</v>
      </c>
      <c r="F17" s="2">
        <f>'data from JD'!F17+'data from JD'!P17/1000</f>
        <v>-2.7500000000000002E-4</v>
      </c>
      <c r="G17" s="2">
        <f>'Rel to Acc'!G17-104.7</f>
        <v>7.0524999999989291E-2</v>
      </c>
      <c r="H17" s="2">
        <f>'data from JD'!L17+'data from JD'!R17</f>
        <v>-8.0367370878700015</v>
      </c>
      <c r="I17" s="3">
        <v>-6.6314559800000001E-3</v>
      </c>
      <c r="J17" s="3">
        <v>-5.600031506E-2</v>
      </c>
    </row>
    <row r="18" spans="1:16" x14ac:dyDescent="0.25">
      <c r="A18" s="4" t="s">
        <v>79</v>
      </c>
      <c r="B18" s="4" t="s">
        <v>5</v>
      </c>
      <c r="D18" s="2">
        <f>'Rel to Acc'!D18-'Rel to HD 0,0'!$D$55</f>
        <v>-93.745299999999986</v>
      </c>
      <c r="E18" s="2">
        <f>'Rel to Acc'!E18-80.6</f>
        <v>-1.0639099999999928</v>
      </c>
      <c r="F18" s="2">
        <f>'data from JD'!F18+'data from JD'!P18/1000</f>
        <v>-1.75E-4</v>
      </c>
      <c r="G18" s="2">
        <f>'Rel to Acc'!G18-104.7</f>
        <v>7.062499999999261E-2</v>
      </c>
      <c r="H18" s="2">
        <f>'data from JD'!L18+'data from JD'!R18</f>
        <v>-8.0411238140800005</v>
      </c>
      <c r="I18" s="3">
        <v>-6.6571393899999996E-3</v>
      </c>
      <c r="J18" s="3">
        <v>-9.3333884859999994E-2</v>
      </c>
    </row>
    <row r="19" spans="1:16" x14ac:dyDescent="0.25">
      <c r="A19" s="4" t="s">
        <v>80</v>
      </c>
      <c r="B19" s="4" t="s">
        <v>6</v>
      </c>
      <c r="D19" s="2">
        <f>'Rel to Acc'!D19-'Rel to HD 0,0'!$D$55</f>
        <v>-92.463599999999985</v>
      </c>
      <c r="E19" s="2">
        <f>'Rel to Acc'!E19-80.6</f>
        <v>-1.2455099999999959</v>
      </c>
      <c r="F19" s="2">
        <f>'data from JD'!F19+'data from JD'!P19/1000</f>
        <v>0</v>
      </c>
      <c r="G19" s="2">
        <f>'Rel to Acc'!G19-104.7</f>
        <v>7.0799999999991314E-2</v>
      </c>
      <c r="H19" s="2">
        <f>'data from JD'!L19+'data from JD'!R19</f>
        <v>-8.0500000000000007</v>
      </c>
      <c r="I19" s="3">
        <v>1.724045548E-2</v>
      </c>
      <c r="J19" s="3">
        <v>-3.7333541509999998E-2</v>
      </c>
    </row>
    <row r="20" spans="1:16" x14ac:dyDescent="0.25">
      <c r="A20" s="4" t="s">
        <v>81</v>
      </c>
      <c r="B20" s="4" t="s">
        <v>7</v>
      </c>
      <c r="D20" s="2">
        <f>'Rel to Acc'!D20-'Rel to HD 0,0'!$D$55</f>
        <v>-91.473199999999963</v>
      </c>
      <c r="E20" s="2">
        <f>'Rel to Acc'!E20-80.6</f>
        <v>-1.3852399999999818</v>
      </c>
      <c r="F20" s="2">
        <f>'data from JD'!F20+'data from JD'!P20/1000</f>
        <v>7.4999999999999993E-5</v>
      </c>
      <c r="G20" s="2">
        <f>'Rel to Acc'!G20-104.7</f>
        <v>7.0874999999986699E-2</v>
      </c>
      <c r="H20" s="2">
        <f>'data from JD'!L20+'data from JD'!R20</f>
        <v>-8.0500000000000007</v>
      </c>
      <c r="I20" s="3">
        <v>-1.361591731E-2</v>
      </c>
      <c r="J20" s="3">
        <v>-9.3333886869999994E-2</v>
      </c>
    </row>
    <row r="21" spans="1:16" x14ac:dyDescent="0.25">
      <c r="A21" s="4" t="s">
        <v>82</v>
      </c>
      <c r="B21" s="4" t="s">
        <v>8</v>
      </c>
      <c r="D21" s="2">
        <f>'Rel to Acc'!D21-'Rel to HD 0,0'!$D$55</f>
        <v>-90.428979999999967</v>
      </c>
      <c r="E21" s="2">
        <f>'Rel to Acc'!E21-80.6</f>
        <v>-1.5329699999999917</v>
      </c>
      <c r="F21" s="2">
        <f>'data from JD'!F21+'data from JD'!P21/1000</f>
        <v>-2.2499999999999999E-4</v>
      </c>
      <c r="G21" s="2">
        <f>'Rel to Acc'!G21-104.7</f>
        <v>7.0574999999990951E-2</v>
      </c>
      <c r="H21" s="2">
        <f>'data from JD'!L21+'data from JD'!R21</f>
        <v>-8.0445013645600003</v>
      </c>
      <c r="I21" s="3">
        <v>1.374658831E-2</v>
      </c>
      <c r="J21" s="3">
        <v>-0.13066749717000001</v>
      </c>
    </row>
    <row r="22" spans="1:16" x14ac:dyDescent="0.25">
      <c r="A22" s="4" t="s">
        <v>83</v>
      </c>
      <c r="B22" s="4" t="s">
        <v>9</v>
      </c>
      <c r="D22" s="2">
        <f>'Rel to Acc'!D22-'Rel to HD 0,0'!$D$55</f>
        <v>-89.23422000000005</v>
      </c>
      <c r="E22" s="2">
        <f>'Rel to Acc'!E22-80.6</f>
        <v>-1.7021299999999968</v>
      </c>
      <c r="F22" s="2">
        <f>'data from JD'!F22+'data from JD'!P22/1000</f>
        <v>-5.0000000000000001E-4</v>
      </c>
      <c r="G22" s="2">
        <f>'Rel to Acc'!G22-104.7</f>
        <v>7.0299999999988927E-2</v>
      </c>
      <c r="H22" s="2">
        <f>'data from JD'!L22+'data from JD'!R22</f>
        <v>-8.0643239474600001</v>
      </c>
      <c r="I22" s="3">
        <v>3.3422539940000003E-2</v>
      </c>
      <c r="J22" s="3">
        <v>-0.11200070193</v>
      </c>
    </row>
    <row r="23" spans="1:16" x14ac:dyDescent="0.25">
      <c r="A23" s="4" t="s">
        <v>84</v>
      </c>
      <c r="B23" s="4" t="s">
        <v>10</v>
      </c>
      <c r="D23" s="2">
        <f>'Rel to Acc'!D23-'Rel to HD 0,0'!$D$55</f>
        <v>-87.990169999999978</v>
      </c>
      <c r="E23" s="2">
        <f>'Rel to Acc'!E23-80.6</f>
        <v>-1.8781800000000004</v>
      </c>
      <c r="F23" s="2">
        <f>'data from JD'!F23+'data from JD'!P23/1000</f>
        <v>4.4999999999999999E-4</v>
      </c>
      <c r="G23" s="2">
        <f>'Rel to Acc'!G23-104.7</f>
        <v>7.1249999999992042E-2</v>
      </c>
      <c r="H23" s="2">
        <f>'data from JD'!L23+'data from JD'!R23</f>
        <v>-8.0593850589000002</v>
      </c>
      <c r="I23" s="3">
        <v>-2.346264583E-2</v>
      </c>
      <c r="J23" s="3">
        <v>0.11200069226999999</v>
      </c>
    </row>
    <row r="24" spans="1:16" x14ac:dyDescent="0.25">
      <c r="A24" s="4" t="s">
        <v>85</v>
      </c>
      <c r="B24" s="4" t="s">
        <v>11</v>
      </c>
      <c r="D24" s="2">
        <f>'Rel to Acc'!D24-'Rel to HD 0,0'!$D$55</f>
        <v>-86.569090000000017</v>
      </c>
      <c r="E24" s="2">
        <f>'Rel to Acc'!E24-80.6</f>
        <v>-2.0738599999999963</v>
      </c>
      <c r="F24" s="2">
        <f>'data from JD'!F24+'data from JD'!P24/1000</f>
        <v>1.25E-4</v>
      </c>
      <c r="G24" s="2">
        <f>'Rel to Acc'!G24-104.7</f>
        <v>7.0924999999988358E-2</v>
      </c>
      <c r="H24" s="2">
        <f>'data from JD'!L24+'data from JD'!R24</f>
        <v>-8.0435622717000008</v>
      </c>
      <c r="I24" s="3">
        <v>-1.6094320299999999E-2</v>
      </c>
      <c r="J24" s="3">
        <v>1.8666769659999999E-2</v>
      </c>
    </row>
    <row r="25" spans="1:16" x14ac:dyDescent="0.25">
      <c r="A25" s="4" t="s">
        <v>44</v>
      </c>
      <c r="B25" s="4" t="s">
        <v>43</v>
      </c>
      <c r="D25" s="2">
        <f>'Rel to Acc'!D25-'Rel to HD 0,0'!$D$55</f>
        <v>-91.610438000000045</v>
      </c>
      <c r="E25" s="2">
        <f>'Rel to Acc'!E25-80.6</f>
        <v>-1.166883999999996</v>
      </c>
      <c r="F25" s="2">
        <f>'data from JD'!F25+'data from JD'!P25/1000</f>
        <v>-0.91003700003305099</v>
      </c>
      <c r="G25" s="2">
        <f>'Rel to Acc'!G25-104.7</f>
        <v>-3.7000000006059963E-5</v>
      </c>
      <c r="H25" s="2">
        <f>'data from JD'!L25+'data from JD'!R25</f>
        <v>-8.0426300000000008</v>
      </c>
      <c r="I25" s="3">
        <v>2.8600000000000001E-3</v>
      </c>
      <c r="J25" s="3">
        <v>-4.0099999999999997E-3</v>
      </c>
    </row>
    <row r="26" spans="1:16" x14ac:dyDescent="0.25">
      <c r="A26" s="4" t="s">
        <v>45</v>
      </c>
      <c r="D26" s="2">
        <f>'Rel to Acc'!D26-'Rel to HD 0,0'!$D$55</f>
        <v>-23.863620000000026</v>
      </c>
      <c r="E26" s="2">
        <f>'Rel to Acc'!E26-80.6</f>
        <v>7.1499999999957708E-4</v>
      </c>
      <c r="F26" s="2">
        <f>'data from JD'!F26+'data from JD'!P26/1000</f>
        <v>4.7599999999999997E-4</v>
      </c>
      <c r="G26" s="2">
        <f>'Rel to Acc'!G26-104.7</f>
        <v>4.7600000000613818E-4</v>
      </c>
      <c r="H26" s="2">
        <f>'data from JD'!L26+'data from JD'!R26</f>
        <v>0</v>
      </c>
      <c r="I26" s="3"/>
      <c r="J26" s="3"/>
    </row>
    <row r="27" spans="1:16" x14ac:dyDescent="0.25">
      <c r="A27" s="4" t="s">
        <v>54</v>
      </c>
      <c r="B27" s="4" t="s">
        <v>26</v>
      </c>
      <c r="D27" s="2">
        <f>'Rel to Acc'!D27-'Rel to HD 0,0'!$D$55</f>
        <v>-23.648490000000038</v>
      </c>
      <c r="E27" s="2">
        <f>'Rel to Acc'!E27-80.6</f>
        <v>0</v>
      </c>
      <c r="F27" s="2">
        <f>'data from JD'!F27+'data from JD'!P27/1000</f>
        <v>-0.89004400002670281</v>
      </c>
      <c r="G27" s="2">
        <f>'Rel to Acc'!G27-104.7</f>
        <v>-4.4000000002597517E-5</v>
      </c>
      <c r="H27" s="2">
        <f>'data from JD'!L27+'data from JD'!R27</f>
        <v>-2.5799999999999998E-3</v>
      </c>
      <c r="I27" s="3">
        <v>1.49E-2</v>
      </c>
      <c r="J27" s="3">
        <v>6.8799999999999998E-3</v>
      </c>
    </row>
    <row r="28" spans="1:16" x14ac:dyDescent="0.25">
      <c r="A28" s="4" t="s">
        <v>55</v>
      </c>
      <c r="B28" s="4" t="s">
        <v>27</v>
      </c>
      <c r="D28" s="2">
        <f>'Rel to Acc'!D28-'Rel to HD 0,0'!$D$55</f>
        <v>-17.760956000000022</v>
      </c>
      <c r="E28" s="2">
        <f>'Rel to Acc'!E28-80.6</f>
        <v>6.0000000004833964E-5</v>
      </c>
      <c r="F28" s="2">
        <f>'data from JD'!F28+'data from JD'!P28/1000</f>
        <v>-0.88995200002670272</v>
      </c>
      <c r="G28" s="2">
        <f>'Rel to Acc'!G28-104.7</f>
        <v>4.8000000006709342E-5</v>
      </c>
      <c r="H28" s="2">
        <f>'data from JD'!L28+'data from JD'!R28</f>
        <v>-2.0629999999999999E-2</v>
      </c>
      <c r="I28" s="3">
        <v>1.375E-2</v>
      </c>
      <c r="J28" s="3">
        <v>1.5469999999999999E-2</v>
      </c>
    </row>
    <row r="29" spans="1:16" x14ac:dyDescent="0.25">
      <c r="A29" s="4" t="s">
        <v>56</v>
      </c>
      <c r="B29" s="4" t="s">
        <v>28</v>
      </c>
      <c r="D29" s="2">
        <f>'Rel to Acc'!D29-'Rel to HD 0,0'!$D$55</f>
        <v>-21.349610000000041</v>
      </c>
      <c r="E29" s="2">
        <f>'Rel to Acc'!E29-80.6</f>
        <v>1.1000000000649379E-4</v>
      </c>
      <c r="F29" s="2">
        <f>'data from JD'!F29+'data from JD'!P29/1000</f>
        <v>-8.9999999999999985E-6</v>
      </c>
      <c r="G29" s="2">
        <f>'Rel to Acc'!G29-104.7</f>
        <v>-9.0000000056988938E-6</v>
      </c>
      <c r="H29" s="2">
        <f>'data from JD'!L29+'data from JD'!R29</f>
        <v>-8.5999999999999998E-4</v>
      </c>
      <c r="I29" s="3">
        <v>3.15E-3</v>
      </c>
      <c r="J29" s="3">
        <v>2.8649999999999998E-2</v>
      </c>
    </row>
    <row r="30" spans="1:16" x14ac:dyDescent="0.25">
      <c r="A30" s="4" t="s">
        <v>57</v>
      </c>
      <c r="B30" s="4" t="s">
        <v>29</v>
      </c>
      <c r="D30" s="2">
        <f>'Rel to Acc'!D30-'Rel to HD 0,0'!$D$55</f>
        <v>-16.994283999999993</v>
      </c>
      <c r="E30" s="2">
        <f>'Rel to Acc'!E30-80.6</f>
        <v>1.0000000003174137E-5</v>
      </c>
      <c r="F30" s="2">
        <f>'data from JD'!F30+'data from JD'!P30/1000</f>
        <v>3.1999999999999999E-5</v>
      </c>
      <c r="G30" s="2">
        <f>'Rel to Acc'!G30-104.7</f>
        <v>3.2000000004472895E-5</v>
      </c>
      <c r="H30" s="2">
        <f>'data from JD'!L30+'data from JD'!R30</f>
        <v>-7.7299999999999999E-3</v>
      </c>
      <c r="I30" s="3">
        <v>2.034E-2</v>
      </c>
      <c r="J30" s="3">
        <v>-5.4400000000000004E-3</v>
      </c>
    </row>
    <row r="31" spans="1:16" x14ac:dyDescent="0.25">
      <c r="A31" s="4" t="s">
        <v>58</v>
      </c>
      <c r="B31" s="4" t="s">
        <v>23</v>
      </c>
      <c r="D31" s="2">
        <f>'Rel to Acc'!D31-'Rel to HD 0,0'!$D$55</f>
        <v>-12.902890000000014</v>
      </c>
      <c r="E31" s="2">
        <f>'Rel to Acc'!E31-80.6</f>
        <v>3.9999999998485691E-5</v>
      </c>
      <c r="F31" s="2">
        <f>'data from JD'!F31+'data from JD'!P31/1000</f>
        <v>-0.12002400003808963</v>
      </c>
      <c r="G31" s="2">
        <f>'Rel to Acc'!G31-104.7</f>
        <v>-2.3999999996249244E-5</v>
      </c>
      <c r="H31" s="2">
        <f>'data from JD'!L31+'data from JD'!R31</f>
        <v>-1.261E-2</v>
      </c>
      <c r="I31" s="3">
        <v>-2.2630000000000001E-2</v>
      </c>
      <c r="J31" s="3">
        <v>7.45E-3</v>
      </c>
      <c r="L31" s="4">
        <v>5270</v>
      </c>
      <c r="M31" s="4">
        <v>10002</v>
      </c>
      <c r="N31" s="4">
        <v>16845</v>
      </c>
      <c r="O31" s="4">
        <v>20638</v>
      </c>
      <c r="P31" s="4">
        <v>24431</v>
      </c>
    </row>
    <row r="32" spans="1:16" x14ac:dyDescent="0.25">
      <c r="A32" s="4" t="s">
        <v>59</v>
      </c>
      <c r="B32" s="4" t="s">
        <v>22</v>
      </c>
      <c r="D32" s="2">
        <f>'Rel to Acc'!D32-'Rel to HD 0,0'!$D$55</f>
        <v>-11.366379999999992</v>
      </c>
      <c r="E32" s="2">
        <f>'Rel to Acc'!E32-80.6</f>
        <v>-3.9999999998485691E-5</v>
      </c>
      <c r="F32" s="2">
        <f>'data from JD'!F32+'data from JD'!P32/1000</f>
        <v>0.17991300000029103</v>
      </c>
      <c r="G32" s="2">
        <f>'Rel to Acc'!G32-104.7</f>
        <v>-8.6999999993508936E-5</v>
      </c>
      <c r="H32" s="2">
        <f>'data from JD'!L32+'data from JD'!R32</f>
        <v>-1.15E-3</v>
      </c>
      <c r="I32" s="3">
        <v>8.5900000000000004E-3</v>
      </c>
      <c r="J32" s="3">
        <v>5.6999999999999998E-4</v>
      </c>
    </row>
    <row r="33" spans="1:10" x14ac:dyDescent="0.25">
      <c r="A33" s="4" t="s">
        <v>60</v>
      </c>
      <c r="B33" s="4" t="s">
        <v>20</v>
      </c>
      <c r="D33" s="2">
        <f>'Rel to Acc'!D33-'Rel to HD 0,0'!$D$55</f>
        <v>-8.4458050000000071</v>
      </c>
      <c r="E33" s="2">
        <f>'Rel to Acc'!E33-80.6</f>
        <v>-0.36140899999999476</v>
      </c>
      <c r="F33" s="2">
        <f>'data from JD'!F33+'data from JD'!P33/1000</f>
        <v>0.18153199999524153</v>
      </c>
      <c r="G33" s="2">
        <f>'Rel to Acc'!G33-104.7</f>
        <v>-4.6799999999791453E-4</v>
      </c>
      <c r="H33" s="2">
        <f>'data from JD'!L33+'data from JD'!R33</f>
        <v>-4.6595800000000001</v>
      </c>
      <c r="I33" s="3">
        <v>8.0500000000000002E-2</v>
      </c>
      <c r="J33" s="3">
        <v>-0.15642</v>
      </c>
    </row>
    <row r="34" spans="1:10" x14ac:dyDescent="0.25">
      <c r="A34" s="4" t="s">
        <v>61</v>
      </c>
      <c r="B34" s="4" t="s">
        <v>21</v>
      </c>
      <c r="D34" s="2">
        <f>'Rel to Acc'!D34-'Rel to HD 0,0'!$D$55</f>
        <v>-8.4464680000000385</v>
      </c>
      <c r="E34" s="2">
        <f>'Rel to Acc'!E34-80.6</f>
        <v>0.36017900000001646</v>
      </c>
      <c r="F34" s="2">
        <f>'data from JD'!F34+'data from JD'!P34/1000</f>
        <v>0.18081299999524153</v>
      </c>
      <c r="G34" s="2">
        <f>'Rel to Acc'!G34-104.7</f>
        <v>-1.1870000000016034E-3</v>
      </c>
      <c r="H34" s="2">
        <f>'data from JD'!L34+'data from JD'!R34</f>
        <v>4.5707700000000004</v>
      </c>
      <c r="I34" s="3">
        <v>-0.13464999999999999</v>
      </c>
      <c r="J34" s="3">
        <v>3.0939999999999999E-2</v>
      </c>
    </row>
    <row r="35" spans="1:10" x14ac:dyDescent="0.25">
      <c r="A35" s="4" t="s">
        <v>62</v>
      </c>
      <c r="B35" s="2" t="s">
        <v>92</v>
      </c>
      <c r="D35" s="2">
        <f>'Rel to Acc'!D35-'Rel to HD 0,0'!$D$55</f>
        <v>-8.0562700000000405</v>
      </c>
      <c r="E35" s="2">
        <f>'Rel to Acc'!E35-80.6</f>
        <v>-0.26569000000000642</v>
      </c>
      <c r="F35" s="2">
        <f>'data from JD'!F35+'data from JD'!P35/1000</f>
        <v>0.18167999999524154</v>
      </c>
      <c r="G35" s="2">
        <f>'Rel to Acc'!G35-104.7</f>
        <v>-3.2000000000209639E-4</v>
      </c>
      <c r="H35" s="2">
        <f>'data from JD'!L35+'data from JD'!R35</f>
        <v>-4.7606999999999999</v>
      </c>
      <c r="I35" s="3"/>
      <c r="J35" s="3"/>
    </row>
    <row r="36" spans="1:10" x14ac:dyDescent="0.25">
      <c r="A36" s="4" t="s">
        <v>63</v>
      </c>
      <c r="B36" s="2" t="s">
        <v>91</v>
      </c>
      <c r="D36" s="2">
        <f>'Rel to Acc'!D36-'Rel to HD 0,0'!$D$55</f>
        <v>-8.0567300000000159</v>
      </c>
      <c r="E36" s="2">
        <f>'Rel to Acc'!E36-80.6</f>
        <v>0.26498999999999739</v>
      </c>
      <c r="F36" s="2">
        <f>'data from JD'!F36+'data from JD'!P36/1000</f>
        <v>0.18207999999524152</v>
      </c>
      <c r="G36" s="2">
        <f>'Rel to Acc'!G36-104.7</f>
        <v>7.9999999996971383E-5</v>
      </c>
      <c r="H36" s="2">
        <f>'data from JD'!L36+'data from JD'!R36</f>
        <v>4.9527999999999999</v>
      </c>
      <c r="I36" s="3"/>
      <c r="J36" s="3"/>
    </row>
    <row r="37" spans="1:10" x14ac:dyDescent="0.25">
      <c r="A37" s="4" t="s">
        <v>64</v>
      </c>
      <c r="D37" s="2">
        <f>'Rel to Acc'!D37-'Rel to HD 0,0'!$D$55</f>
        <v>-2.2836199999999849</v>
      </c>
      <c r="E37" s="2">
        <f>'Rel to Acc'!E37-80.6</f>
        <v>-1.9000000000346517E-4</v>
      </c>
      <c r="F37" s="2">
        <f>'data from JD'!F37+'data from JD'!P37/1000</f>
        <v>-5.0000000000000002E-5</v>
      </c>
      <c r="G37" s="2">
        <f>'Rel to Acc'!G37-104.7</f>
        <v>-5.0000000001659828E-5</v>
      </c>
      <c r="H37" s="2">
        <f>'data from JD'!L37+'data from JD'!R37</f>
        <v>0</v>
      </c>
    </row>
    <row r="38" spans="1:10" x14ac:dyDescent="0.25">
      <c r="A38" s="4" t="s">
        <v>65</v>
      </c>
      <c r="B38" s="4" t="s">
        <v>24</v>
      </c>
      <c r="D38" s="2">
        <f>'Rel to Acc'!D38-'Rel to HD 0,0'!$D$55</f>
        <v>1.8947699999999941</v>
      </c>
      <c r="E38" s="2">
        <f>'Rel to Acc'!E38-80.6</f>
        <v>0</v>
      </c>
      <c r="F38" s="2">
        <f>'data from JD'!F38+'data from JD'!P38/1000</f>
        <v>6.0600139999340072</v>
      </c>
      <c r="G38" s="2">
        <f>'Rel to Acc'!G38-104.7</f>
        <v>1.3999999993075107E-5</v>
      </c>
      <c r="H38" s="2">
        <f>'data from JD'!L38+'data from JD'!R38</f>
        <v>1.7760000000000001E-2</v>
      </c>
      <c r="I38" s="3">
        <v>1.289E-2</v>
      </c>
      <c r="J38" s="3">
        <v>2.0100000000000001E-3</v>
      </c>
    </row>
    <row r="39" spans="1:10" x14ac:dyDescent="0.25">
      <c r="A39" s="4" t="s">
        <v>66</v>
      </c>
      <c r="B39" s="4" t="s">
        <v>46</v>
      </c>
      <c r="D39" s="2">
        <f>'Rel to Acc'!D39-'Rel to HD 0,0'!$D$55</f>
        <v>2.1228800000000092</v>
      </c>
      <c r="E39" s="2">
        <f>'Rel to Acc'!E39-80.6</f>
        <v>1.0300000000000864E-3</v>
      </c>
      <c r="F39" s="2">
        <f>'data from JD'!F39+'data from JD'!P39/1000</f>
        <v>6.1090199999782993</v>
      </c>
      <c r="G39" s="2">
        <f>'Rel to Acc'!G39-104.7</f>
        <v>-9.7999999999842657E-4</v>
      </c>
      <c r="H39" s="2">
        <f>'data from JD'!L39+'data from JD'!R39</f>
        <v>1.6330000000000001E-2</v>
      </c>
      <c r="I39" s="3">
        <v>4.24E-2</v>
      </c>
      <c r="J39" s="3">
        <v>4.5799999999999999E-3</v>
      </c>
    </row>
    <row r="40" spans="1:10" x14ac:dyDescent="0.25">
      <c r="A40" s="4" t="s">
        <v>67</v>
      </c>
      <c r="B40" s="4" t="s">
        <v>18</v>
      </c>
      <c r="D40" s="2">
        <f>'Rel to Acc'!D40-'Rel to HD 0,0'!$D$55</f>
        <v>0.6503699999999526</v>
      </c>
      <c r="E40" s="2">
        <f>'Rel to Acc'!E40-80.6</f>
        <v>3.5900000000026466E-3</v>
      </c>
      <c r="F40" s="2">
        <f>'data from JD'!F40+'data from JD'!P40/1000</f>
        <v>0.18101200000029105</v>
      </c>
      <c r="G40" s="2">
        <f>'Rel to Acc'!G40-104.7</f>
        <v>1.0120000000028995E-3</v>
      </c>
      <c r="H40" s="2">
        <f>'data from JD'!L40+'data from JD'!R40</f>
        <v>5.4140000000000001E-2</v>
      </c>
      <c r="I40" s="3">
        <v>-2.6069999999999999E-2</v>
      </c>
      <c r="J40" s="3">
        <v>-1.8982699999999999</v>
      </c>
    </row>
    <row r="41" spans="1:10" x14ac:dyDescent="0.25">
      <c r="A41" s="4" t="s">
        <v>86</v>
      </c>
      <c r="B41" s="4" t="s">
        <v>19</v>
      </c>
      <c r="C41" s="2" t="s">
        <v>47</v>
      </c>
      <c r="D41" s="2">
        <f>'Rel to Acc'!D41-'Rel to HD 0,0'!$D$55</f>
        <v>0.31196999999997388</v>
      </c>
      <c r="E41" s="2">
        <f>'Rel to Acc'!E41-80.6</f>
        <v>1.1499999999955435E-3</v>
      </c>
      <c r="F41" s="2">
        <f>'data from JD'!F41+'data from JD'!P41/1000</f>
        <v>356.07161199998836</v>
      </c>
      <c r="G41" s="2">
        <f>'Rel to Acc'!G41-104.7</f>
        <v>1.6119999999943957E-3</v>
      </c>
      <c r="H41" s="2">
        <f>'data from JD'!L41+'data from JD'!R41</f>
        <v>-8.5379999999999998E-2</v>
      </c>
      <c r="I41" s="3">
        <v>-0.61192999999999997</v>
      </c>
      <c r="J41" s="3">
        <v>0.75231999999999999</v>
      </c>
    </row>
    <row r="42" spans="1:10" x14ac:dyDescent="0.25">
      <c r="A42" s="4" t="s">
        <v>98</v>
      </c>
      <c r="C42" s="2"/>
      <c r="D42" s="2">
        <f>'Rel to Acc'!D42-'Rel to HD 0,0'!$D$55</f>
        <v>0.39927000000000135</v>
      </c>
      <c r="E42" s="2">
        <f>'Rel to Acc'!E42-80.6</f>
        <v>1.0199085912603323E-3</v>
      </c>
      <c r="F42" s="2">
        <f>'data from JD'!F42+'data from JD'!P42/1000</f>
        <v>6.7963467091822368E-4</v>
      </c>
      <c r="G42" s="2">
        <f>'Rel to Acc'!G42-104.7</f>
        <v>6.7963467091658458E-4</v>
      </c>
      <c r="H42" s="2">
        <f>'data from JD'!L42+'data from JD'!R42</f>
        <v>0</v>
      </c>
      <c r="I42" s="3">
        <v>0</v>
      </c>
      <c r="J42" s="3">
        <v>0.75231999999999999</v>
      </c>
    </row>
    <row r="43" spans="1:10" x14ac:dyDescent="0.25">
      <c r="A43" s="4" t="s">
        <v>99</v>
      </c>
      <c r="C43" s="2"/>
      <c r="D43" s="2">
        <f>'Rel to Acc'!D43-'Rel to HD 0,0'!$D$55</f>
        <v>0.98615999999998394</v>
      </c>
      <c r="E43" s="2">
        <f>'Rel to Acc'!E43-80.6</f>
        <v>1.4534234759366882E-4</v>
      </c>
      <c r="F43" s="2">
        <f>'data from JD'!F43+'data from JD'!P43/1000</f>
        <v>-5.5883829601072943E-3</v>
      </c>
      <c r="G43" s="2">
        <f>'Rel to Acc'!G43-104.7</f>
        <v>-5.5883829601128809E-3</v>
      </c>
      <c r="H43" s="2">
        <f>'data from JD'!L43+'data from JD'!R43</f>
        <v>0</v>
      </c>
      <c r="I43" s="3">
        <v>0</v>
      </c>
      <c r="J43" s="3">
        <v>0.75231999999999999</v>
      </c>
    </row>
    <row r="44" spans="1:10" x14ac:dyDescent="0.25">
      <c r="A44" s="4" t="s">
        <v>124</v>
      </c>
      <c r="D44" s="2">
        <f>'Rel to Acc'!D44-'Rel to HD 0,0'!$D$55</f>
        <v>1.8275199999999927</v>
      </c>
      <c r="E44" s="2">
        <f>'Rel to Acc'!E44-80.6</f>
        <v>-9.0000000000145519E-4</v>
      </c>
      <c r="F44" s="2" t="e">
        <f>'data from JD'!#REF!+'data from JD'!#REF!/1000</f>
        <v>#REF!</v>
      </c>
      <c r="G44" s="2">
        <f>'Rel to Acc'!G44-104.7</f>
        <v>3.2899999999358442E-4</v>
      </c>
      <c r="H44" s="2">
        <v>1.6330000000000001E-2</v>
      </c>
      <c r="I44" s="3">
        <v>-4.9270000000000001E-2</v>
      </c>
      <c r="J44" s="3">
        <v>8.8239999999999999E-2</v>
      </c>
    </row>
    <row r="45" spans="1:10" x14ac:dyDescent="0.25">
      <c r="A45" s="4" t="s">
        <v>125</v>
      </c>
      <c r="D45" s="2">
        <f>'Rel to Acc'!D45-'Rel to HD 0,0'!$D$55</f>
        <v>2.4132200000000239</v>
      </c>
      <c r="E45" s="2">
        <f>'Rel to Acc'!E45-80.6</f>
        <v>-6.900000000058526E-4</v>
      </c>
      <c r="F45" s="2">
        <f>'data from JD'!F48+'data from JD'!P48/1000</f>
        <v>6.4099349999598365</v>
      </c>
      <c r="G45" s="2">
        <f>'Rel to Acc'!G45-104.7</f>
        <v>-5.7999999995672624E-5</v>
      </c>
      <c r="H45" s="2">
        <v>2.2630000000000001E-2</v>
      </c>
      <c r="I45" s="3">
        <v>-3.524E-2</v>
      </c>
      <c r="J45" s="3">
        <v>8.8800000000000007E-3</v>
      </c>
    </row>
    <row r="46" spans="1:10" x14ac:dyDescent="0.25">
      <c r="A46" s="4" t="s">
        <v>126</v>
      </c>
      <c r="D46" s="2">
        <f>'Rel to Acc'!D46-'Rel to HD 0,0'!$D$55</f>
        <v>2.9991099999999733</v>
      </c>
      <c r="E46" s="2">
        <f>'Rel to Acc'!E46-80.6</f>
        <v>1.0000000003174137E-5</v>
      </c>
      <c r="F46" s="2">
        <f>'data from JD'!F49+'data from JD'!P49/1000</f>
        <v>0.17997900000029105</v>
      </c>
      <c r="G46" s="2">
        <f>'Rel to Acc'!G46-104.7</f>
        <v>-3.2500000000368345E-4</v>
      </c>
      <c r="H46" s="2">
        <v>2.9219999999999999E-2</v>
      </c>
      <c r="I46" s="3">
        <v>-6.8180000000000004E-2</v>
      </c>
      <c r="J46" s="3">
        <v>2.9510000000000002E-2</v>
      </c>
    </row>
    <row r="47" spans="1:10" x14ac:dyDescent="0.25">
      <c r="A47" s="4" t="s">
        <v>127</v>
      </c>
      <c r="D47" s="2">
        <f>'Rel to Acc'!D47-'Rel to HD 0,0'!$D$55</f>
        <v>3.3858599999999797</v>
      </c>
      <c r="E47" s="2">
        <f>'Rel to Acc'!E47-80.6</f>
        <v>1.8000000000029104E-4</v>
      </c>
      <c r="F47" s="2">
        <f>'data from JD'!F50+'data from JD'!P50/1000</f>
        <v>0.18225100000029104</v>
      </c>
      <c r="G47" s="2">
        <f>'Rel to Acc'!G47-104.7</f>
        <v>2.3099999999942611E-4</v>
      </c>
      <c r="H47" s="2">
        <v>-1.72E-3</v>
      </c>
      <c r="I47" s="3">
        <v>0.10972</v>
      </c>
      <c r="J47" s="3">
        <v>6.5900000000000004E-3</v>
      </c>
    </row>
    <row r="48" spans="1:10" x14ac:dyDescent="0.25">
      <c r="A48" s="4" t="s">
        <v>68</v>
      </c>
      <c r="B48" s="4" t="s">
        <v>17</v>
      </c>
      <c r="D48" s="2">
        <f>'Rel to Acc'!D48-'Rel to HD 0,0'!$D$55</f>
        <v>0.93184999999999718</v>
      </c>
      <c r="E48" s="2">
        <f>'Rel to Acc'!E48-80.6</f>
        <v>6.9999999993797246E-5</v>
      </c>
      <c r="F48" s="2">
        <f>'data from JD'!F48+'data from JD'!P48/1000</f>
        <v>6.4099349999598365</v>
      </c>
      <c r="G48" s="2">
        <f>'Rel to Acc'!G48-104.7</f>
        <v>-6.5000000006421033E-5</v>
      </c>
      <c r="H48" s="2">
        <f>'data from JD'!L48+'data from JD'!R48</f>
        <v>2.8600000000000001E-3</v>
      </c>
      <c r="I48" s="3">
        <v>-2.3199999999999998E-2</v>
      </c>
      <c r="J48" s="3">
        <v>4.7840000000000001E-2</v>
      </c>
    </row>
    <row r="49" spans="1:10" x14ac:dyDescent="0.25">
      <c r="A49" s="4" t="s">
        <v>69</v>
      </c>
      <c r="B49" s="4" t="s">
        <v>15</v>
      </c>
      <c r="D49" s="2">
        <f>'Rel to Acc'!D49-'Rel to HD 0,0'!$D$55</f>
        <v>6.2540599999999813</v>
      </c>
      <c r="E49" s="2">
        <f>'Rel to Acc'!E49-80.6</f>
        <v>5.2900000000022374E-3</v>
      </c>
      <c r="F49" s="2">
        <f>'data from JD'!F49+'data from JD'!P49/1000</f>
        <v>0.17997900000029105</v>
      </c>
      <c r="G49" s="2">
        <f>'Rel to Acc'!G49-104.7</f>
        <v>-2.1000000003823516E-5</v>
      </c>
      <c r="H49" s="2">
        <f>'data from JD'!L49+'data from JD'!R49</f>
        <v>-7.0190000000000002E-2</v>
      </c>
      <c r="I49" s="3">
        <v>4.1829999999999999E-2</v>
      </c>
      <c r="J49" s="3">
        <v>-1.49E-2</v>
      </c>
    </row>
    <row r="50" spans="1:10" x14ac:dyDescent="0.25">
      <c r="A50" s="4" t="s">
        <v>70</v>
      </c>
      <c r="B50" s="4" t="s">
        <v>16</v>
      </c>
      <c r="D50" s="2">
        <f>'Rel to Acc'!D50-'Rel to HD 0,0'!$D$55</f>
        <v>6.0629299999999944</v>
      </c>
      <c r="E50" s="2">
        <f>'Rel to Acc'!E50-80.6</f>
        <v>3.0799999999970851E-3</v>
      </c>
      <c r="F50" s="2">
        <f>'data from JD'!F50+'data from JD'!P50/1000</f>
        <v>0.18225100000029104</v>
      </c>
      <c r="G50" s="2">
        <f>'Rel to Acc'!G50-104.7</f>
        <v>2.2510000000011132E-3</v>
      </c>
      <c r="H50" s="2">
        <f>'data from JD'!L50+'data from JD'!R50</f>
        <v>4.6120000000000001E-2</v>
      </c>
      <c r="I50" s="3">
        <v>4.2689999999999999E-2</v>
      </c>
      <c r="J50" s="3">
        <v>-0.18134</v>
      </c>
    </row>
    <row r="51" spans="1:10" x14ac:dyDescent="0.25">
      <c r="A51" s="4" t="s">
        <v>71</v>
      </c>
      <c r="D51" s="2">
        <f>'Rel to Acc'!D51-'Rel to HD 0,0'!$D$55</f>
        <v>16.956379999999967</v>
      </c>
      <c r="E51" s="2">
        <f>'Rel to Acc'!E51-80.6</f>
        <v>-2.9999999995311555E-5</v>
      </c>
      <c r="F51" s="2">
        <f>'data from JD'!F51+'data from JD'!P51/1000</f>
        <v>2.7E-4</v>
      </c>
      <c r="G51" s="2">
        <f>'Rel to Acc'!G51-104.7</f>
        <v>2.7000000000043656E-4</v>
      </c>
      <c r="H51" s="2">
        <f>'data from JD'!L51+'data from JD'!R51</f>
        <v>0</v>
      </c>
    </row>
    <row r="53" spans="1:10" ht="15.75" x14ac:dyDescent="0.25">
      <c r="D53" s="11" t="s">
        <v>87</v>
      </c>
    </row>
    <row r="55" spans="1:10" x14ac:dyDescent="0.25">
      <c r="D55" s="4">
        <v>398.13362000000001</v>
      </c>
      <c r="E55" s="4">
        <v>80.599999999999994</v>
      </c>
      <c r="G55" s="4">
        <v>104.7</v>
      </c>
    </row>
  </sheetData>
  <mergeCells count="2">
    <mergeCell ref="L10:P10"/>
    <mergeCell ref="A2:D6"/>
  </mergeCells>
  <pageMargins left="0.7" right="0.7" top="0.75" bottom="0.75" header="0.3" footer="0.3"/>
  <pageSetup paperSize="17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opLeftCell="A16" workbookViewId="0">
      <selection activeCell="A44" sqref="A44:XFD44"/>
    </sheetView>
  </sheetViews>
  <sheetFormatPr defaultRowHeight="15" x14ac:dyDescent="0.25"/>
  <cols>
    <col min="1" max="1" width="38" style="4" customWidth="1"/>
    <col min="2" max="2" width="12.5703125" style="4" customWidth="1"/>
    <col min="3" max="3" width="2" style="4" customWidth="1"/>
    <col min="4" max="4" width="11.7109375" style="4" customWidth="1"/>
    <col min="5" max="5" width="13.85546875" style="4" bestFit="1" customWidth="1"/>
    <col min="6" max="6" width="11.85546875" style="4" hidden="1" customWidth="1"/>
    <col min="7" max="7" width="11.140625" style="4" customWidth="1"/>
    <col min="8" max="10" width="9.140625" style="4"/>
    <col min="11" max="11" width="2.140625" style="4" customWidth="1"/>
    <col min="12" max="16384" width="9.140625" style="4"/>
  </cols>
  <sheetData>
    <row r="1" spans="1:16" x14ac:dyDescent="0.25">
      <c r="A1" s="4" t="s">
        <v>72</v>
      </c>
    </row>
    <row r="2" spans="1:16" x14ac:dyDescent="0.25">
      <c r="A2" s="12" t="s">
        <v>73</v>
      </c>
      <c r="B2" s="12"/>
      <c r="C2" s="12"/>
      <c r="D2" s="12"/>
    </row>
    <row r="3" spans="1:16" x14ac:dyDescent="0.25">
      <c r="A3" s="12"/>
      <c r="B3" s="12"/>
      <c r="C3" s="12"/>
      <c r="D3" s="12"/>
    </row>
    <row r="4" spans="1:16" x14ac:dyDescent="0.25">
      <c r="A4" s="12"/>
      <c r="B4" s="12"/>
      <c r="C4" s="12"/>
      <c r="D4" s="12"/>
    </row>
    <row r="5" spans="1:16" x14ac:dyDescent="0.25">
      <c r="A5" s="13"/>
      <c r="B5" s="13"/>
      <c r="C5" s="13"/>
      <c r="D5" s="13"/>
    </row>
    <row r="10" spans="1:16" x14ac:dyDescent="0.25">
      <c r="A10" s="8" t="s">
        <v>30</v>
      </c>
      <c r="B10" s="6" t="s">
        <v>31</v>
      </c>
      <c r="C10" s="6"/>
      <c r="D10" s="6" t="s">
        <v>90</v>
      </c>
      <c r="E10" s="6"/>
      <c r="F10" s="6"/>
      <c r="G10" s="6"/>
      <c r="I10" s="8" t="s">
        <v>37</v>
      </c>
      <c r="K10" s="6"/>
      <c r="L10" s="14" t="s">
        <v>49</v>
      </c>
      <c r="M10" s="14"/>
      <c r="N10" s="14"/>
      <c r="O10" s="14"/>
      <c r="P10" s="14"/>
    </row>
    <row r="11" spans="1:16" x14ac:dyDescent="0.25">
      <c r="D11" s="6" t="s">
        <v>32</v>
      </c>
      <c r="E11" s="6" t="s">
        <v>13</v>
      </c>
      <c r="F11" s="6"/>
      <c r="G11" s="6" t="s">
        <v>14</v>
      </c>
      <c r="H11" s="6" t="s">
        <v>36</v>
      </c>
      <c r="I11" s="6" t="s">
        <v>34</v>
      </c>
      <c r="J11" s="6" t="s">
        <v>35</v>
      </c>
      <c r="K11" s="6"/>
      <c r="L11" s="6" t="s">
        <v>38</v>
      </c>
      <c r="M11" s="6" t="s">
        <v>39</v>
      </c>
      <c r="N11" s="6" t="s">
        <v>40</v>
      </c>
      <c r="O11" s="6" t="s">
        <v>41</v>
      </c>
      <c r="P11" s="6" t="s">
        <v>42</v>
      </c>
    </row>
    <row r="12" spans="1:16" x14ac:dyDescent="0.25">
      <c r="A12" s="4" t="s">
        <v>50</v>
      </c>
      <c r="B12" s="4" t="s">
        <v>0</v>
      </c>
      <c r="D12" s="2">
        <f>'Rel to Acc'!D12-$D$56</f>
        <v>-116.51564000000002</v>
      </c>
      <c r="E12" s="2">
        <f>'Rel to Acc'!E12-80.6</f>
        <v>-9.0000000000145519E-5</v>
      </c>
      <c r="F12" s="2">
        <f>'data from JD'!F12+'data from JD'!P12/1000</f>
        <v>1.84E-4</v>
      </c>
      <c r="G12" s="2">
        <f>'Rel to Acc'!G12-104.7</f>
        <v>1.8400000000440286E-4</v>
      </c>
      <c r="H12" s="2">
        <f>'data from JD'!L12+'data from JD'!R12</f>
        <v>-3.4399999999999999E-3</v>
      </c>
      <c r="I12" s="3">
        <v>-8.0199999999999994E-3</v>
      </c>
      <c r="J12" s="3">
        <v>2.0049999999999998E-2</v>
      </c>
    </row>
    <row r="13" spans="1:16" x14ac:dyDescent="0.25">
      <c r="A13" s="4" t="s">
        <v>51</v>
      </c>
      <c r="B13" s="4" t="s">
        <v>25</v>
      </c>
      <c r="D13" s="2">
        <f>'Rel to Acc'!D13-$D$56</f>
        <v>-102.21063999999996</v>
      </c>
      <c r="E13" s="2">
        <f>'Rel to Acc'!E13-80.6</f>
        <v>2.0000000006348273E-5</v>
      </c>
      <c r="F13" s="2">
        <f>'data from JD'!F13+'data from JD'!P13/1000</f>
        <v>-8.9999999999999985E-6</v>
      </c>
      <c r="G13" s="2">
        <f>'Rel to Acc'!G13-104.7</f>
        <v>-9.0000000056988938E-6</v>
      </c>
      <c r="H13" s="2">
        <f>'data from JD'!L13+'data from JD'!R13</f>
        <v>3.7200000000000002E-3</v>
      </c>
      <c r="I13" s="3">
        <v>2.0100000000000001E-3</v>
      </c>
      <c r="J13" s="3">
        <v>-1.0030000000000001E-2</v>
      </c>
    </row>
    <row r="14" spans="1:16" x14ac:dyDescent="0.25">
      <c r="A14" s="4" t="s">
        <v>52</v>
      </c>
      <c r="B14" s="4" t="s">
        <v>1</v>
      </c>
      <c r="D14" s="2">
        <f>'Rel to Acc'!D14-$D$56</f>
        <v>-100.93703999999997</v>
      </c>
      <c r="E14" s="2">
        <f>'Rel to Acc'!E14-80.6</f>
        <v>2.0000000006348273E-5</v>
      </c>
      <c r="F14" s="2">
        <f>'data from JD'!F14+'data from JD'!P14/1000</f>
        <v>0.12991100001284206</v>
      </c>
      <c r="G14" s="2">
        <f>'Rel to Acc'!G14-104.7</f>
        <v>-8.9000000002670276E-5</v>
      </c>
      <c r="H14" s="2">
        <f>'data from JD'!L14+'data from JD'!R14</f>
        <v>2.7220000000000001E-2</v>
      </c>
      <c r="I14" s="3">
        <v>2.5799999999999998E-3</v>
      </c>
      <c r="J14" s="3">
        <v>3.7200000000000002E-3</v>
      </c>
    </row>
    <row r="15" spans="1:16" x14ac:dyDescent="0.25">
      <c r="A15" s="4" t="s">
        <v>53</v>
      </c>
      <c r="B15" s="4" t="s">
        <v>12</v>
      </c>
      <c r="D15" s="2">
        <f>'Rel to Acc'!D15-$D$56</f>
        <v>-100.31526000000002</v>
      </c>
      <c r="E15" s="2">
        <f>'Rel to Acc'!E15-80.6</f>
        <v>5.0000000001659828E-5</v>
      </c>
      <c r="F15" s="2">
        <f>'data from JD'!F15+'data from JD'!P15/1000</f>
        <v>6.3399519999660399</v>
      </c>
      <c r="G15" s="2">
        <f>'Rel to Acc'!G15-104.7</f>
        <v>-4.8000000006709342E-5</v>
      </c>
      <c r="H15" s="2">
        <f>'data from JD'!L15+'data from JD'!R15</f>
        <v>4.3E-3</v>
      </c>
      <c r="I15" s="3">
        <v>2.836E-2</v>
      </c>
      <c r="J15" s="3">
        <v>-6.0200000000000002E-3</v>
      </c>
      <c r="L15" s="1">
        <v>5565.55</v>
      </c>
      <c r="M15" s="1">
        <v>10259.549999999999</v>
      </c>
      <c r="N15" s="1">
        <v>17143.525000000001</v>
      </c>
      <c r="O15" s="1">
        <v>20945.125</v>
      </c>
      <c r="P15" s="1">
        <v>24749.35</v>
      </c>
    </row>
    <row r="16" spans="1:16" x14ac:dyDescent="0.25">
      <c r="A16" s="4" t="s">
        <v>3</v>
      </c>
      <c r="B16" s="4" t="s">
        <v>2</v>
      </c>
      <c r="D16" s="2">
        <f>'Rel to Acc'!D16-$D$56</f>
        <v>-94.641153999999972</v>
      </c>
      <c r="E16" s="2">
        <f>'Rel to Acc'!E16-80.6</f>
        <v>-0.29789499999999691</v>
      </c>
      <c r="F16" s="2">
        <f>'data from JD'!F16+'data from JD'!P16/1000</f>
        <v>-35.1800740000253</v>
      </c>
      <c r="G16" s="2">
        <f>'Rel to Acc'!G16-104.7</f>
        <v>-7.3999999997909072E-5</v>
      </c>
      <c r="H16" s="2">
        <f>'data from JD'!L16+'data from JD'!R16</f>
        <v>-6.5004</v>
      </c>
      <c r="I16" s="3">
        <v>3.4399999999999999E-3</v>
      </c>
      <c r="J16" s="3">
        <v>-8.5999999999999998E-4</v>
      </c>
    </row>
    <row r="17" spans="1:16" x14ac:dyDescent="0.25">
      <c r="A17" s="4" t="s">
        <v>78</v>
      </c>
      <c r="B17" s="4" t="s">
        <v>4</v>
      </c>
      <c r="D17" s="2">
        <f>'Rel to Acc'!D17-$D$56</f>
        <v>-96.92998</v>
      </c>
      <c r="E17" s="2">
        <f>'Rel to Acc'!E17-80.6</f>
        <v>-0.88180999999998733</v>
      </c>
      <c r="F17" s="2">
        <f>'data from JD'!F17+'data from JD'!P17/1000</f>
        <v>-2.7500000000000002E-4</v>
      </c>
      <c r="G17" s="2">
        <f>'Rel to Acc'!G17-104.7</f>
        <v>7.0524999999989291E-2</v>
      </c>
      <c r="H17" s="2">
        <f>'data from JD'!L17+'data from JD'!R17</f>
        <v>-8.0367370878700015</v>
      </c>
      <c r="I17" s="3">
        <v>-6.6314559800000001E-3</v>
      </c>
      <c r="J17" s="3">
        <v>-5.600031506E-2</v>
      </c>
    </row>
    <row r="18" spans="1:16" x14ac:dyDescent="0.25">
      <c r="A18" s="4" t="s">
        <v>79</v>
      </c>
      <c r="B18" s="4" t="s">
        <v>5</v>
      </c>
      <c r="D18" s="2">
        <f>'Rel to Acc'!D18-$D$56</f>
        <v>-95.641359999999963</v>
      </c>
      <c r="E18" s="2">
        <f>'Rel to Acc'!E18-80.6</f>
        <v>-1.0639099999999928</v>
      </c>
      <c r="F18" s="2">
        <f>'data from JD'!F18+'data from JD'!P18/1000</f>
        <v>-1.75E-4</v>
      </c>
      <c r="G18" s="2">
        <f>'Rel to Acc'!G18-104.7</f>
        <v>7.062499999999261E-2</v>
      </c>
      <c r="H18" s="2">
        <f>'data from JD'!L18+'data from JD'!R18</f>
        <v>-8.0411238140800005</v>
      </c>
      <c r="I18" s="3">
        <v>-6.6571393899999996E-3</v>
      </c>
      <c r="J18" s="3">
        <v>-9.3333884859999994E-2</v>
      </c>
    </row>
    <row r="19" spans="1:16" x14ac:dyDescent="0.25">
      <c r="A19" s="4" t="s">
        <v>80</v>
      </c>
      <c r="B19" s="4" t="s">
        <v>6</v>
      </c>
      <c r="D19" s="2">
        <f>'Rel to Acc'!D19-$D$56</f>
        <v>-94.359659999999963</v>
      </c>
      <c r="E19" s="2">
        <f>'Rel to Acc'!E19-80.6</f>
        <v>-1.2455099999999959</v>
      </c>
      <c r="F19" s="2">
        <f>'data from JD'!F19+'data from JD'!P19/1000</f>
        <v>0</v>
      </c>
      <c r="G19" s="2">
        <f>'Rel to Acc'!G19-104.7</f>
        <v>7.0799999999991314E-2</v>
      </c>
      <c r="H19" s="2">
        <f>'data from JD'!L19+'data from JD'!R19</f>
        <v>-8.0500000000000007</v>
      </c>
      <c r="I19" s="3">
        <v>1.724045548E-2</v>
      </c>
      <c r="J19" s="3">
        <v>-3.7333541509999998E-2</v>
      </c>
    </row>
    <row r="20" spans="1:16" x14ac:dyDescent="0.25">
      <c r="A20" s="4" t="s">
        <v>81</v>
      </c>
      <c r="B20" s="4" t="s">
        <v>7</v>
      </c>
      <c r="D20" s="2">
        <f>'Rel to Acc'!D20-$D$56</f>
        <v>-93.36925999999994</v>
      </c>
      <c r="E20" s="2">
        <f>'Rel to Acc'!E20-80.6</f>
        <v>-1.3852399999999818</v>
      </c>
      <c r="F20" s="2">
        <f>'data from JD'!F20+'data from JD'!P20/1000</f>
        <v>7.4999999999999993E-5</v>
      </c>
      <c r="G20" s="2">
        <f>'Rel to Acc'!G20-104.7</f>
        <v>7.0874999999986699E-2</v>
      </c>
      <c r="H20" s="2">
        <f>'data from JD'!L20+'data from JD'!R20</f>
        <v>-8.0500000000000007</v>
      </c>
      <c r="I20" s="3">
        <v>-1.361591731E-2</v>
      </c>
      <c r="J20" s="3">
        <v>-9.3333886869999994E-2</v>
      </c>
    </row>
    <row r="21" spans="1:16" x14ac:dyDescent="0.25">
      <c r="A21" s="4" t="s">
        <v>82</v>
      </c>
      <c r="B21" s="4" t="s">
        <v>8</v>
      </c>
      <c r="D21" s="2">
        <f>'Rel to Acc'!D21-$D$56</f>
        <v>-92.325039999999944</v>
      </c>
      <c r="E21" s="2">
        <f>'Rel to Acc'!E21-80.6</f>
        <v>-1.5329699999999917</v>
      </c>
      <c r="F21" s="2">
        <f>'data from JD'!F21+'data from JD'!P21/1000</f>
        <v>-2.2499999999999999E-4</v>
      </c>
      <c r="G21" s="2">
        <f>'Rel to Acc'!G21-104.7</f>
        <v>7.0574999999990951E-2</v>
      </c>
      <c r="H21" s="2">
        <f>'data from JD'!L21+'data from JD'!R21</f>
        <v>-8.0445013645600003</v>
      </c>
      <c r="I21" s="3">
        <v>1.374658831E-2</v>
      </c>
      <c r="J21" s="3">
        <v>-0.13066749717000001</v>
      </c>
    </row>
    <row r="22" spans="1:16" x14ac:dyDescent="0.25">
      <c r="A22" s="4" t="s">
        <v>83</v>
      </c>
      <c r="B22" s="4" t="s">
        <v>9</v>
      </c>
      <c r="D22" s="2">
        <f>'Rel to Acc'!D22-$D$56</f>
        <v>-91.130280000000027</v>
      </c>
      <c r="E22" s="2">
        <f>'Rel to Acc'!E22-80.6</f>
        <v>-1.7021299999999968</v>
      </c>
      <c r="F22" s="2">
        <f>'data from JD'!F22+'data from JD'!P22/1000</f>
        <v>-5.0000000000000001E-4</v>
      </c>
      <c r="G22" s="2">
        <f>'Rel to Acc'!G22-104.7</f>
        <v>7.0299999999988927E-2</v>
      </c>
      <c r="H22" s="2">
        <f>'data from JD'!L22+'data from JD'!R22</f>
        <v>-8.0643239474600001</v>
      </c>
      <c r="I22" s="3">
        <v>3.3422539940000003E-2</v>
      </c>
      <c r="J22" s="3">
        <v>-0.11200070193</v>
      </c>
    </row>
    <row r="23" spans="1:16" x14ac:dyDescent="0.25">
      <c r="A23" s="4" t="s">
        <v>84</v>
      </c>
      <c r="B23" s="4" t="s">
        <v>10</v>
      </c>
      <c r="D23" s="2">
        <f>'Rel to Acc'!D23-$D$56</f>
        <v>-89.886229999999955</v>
      </c>
      <c r="E23" s="2">
        <f>'Rel to Acc'!E23-80.6</f>
        <v>-1.8781800000000004</v>
      </c>
      <c r="F23" s="2">
        <f>'data from JD'!F23+'data from JD'!P23/1000</f>
        <v>4.4999999999999999E-4</v>
      </c>
      <c r="G23" s="2">
        <f>'Rel to Acc'!G23-104.7</f>
        <v>7.1249999999992042E-2</v>
      </c>
      <c r="H23" s="2">
        <f>'data from JD'!L23+'data from JD'!R23</f>
        <v>-8.0593850589000002</v>
      </c>
      <c r="I23" s="3">
        <v>-2.346264583E-2</v>
      </c>
      <c r="J23" s="3">
        <v>0.11200069226999999</v>
      </c>
    </row>
    <row r="24" spans="1:16" x14ac:dyDescent="0.25">
      <c r="A24" s="4" t="s">
        <v>85</v>
      </c>
      <c r="B24" s="4" t="s">
        <v>11</v>
      </c>
      <c r="D24" s="2">
        <f>'Rel to Acc'!D24-$D$56</f>
        <v>-88.465149999999994</v>
      </c>
      <c r="E24" s="2">
        <f>'Rel to Acc'!E24-80.6</f>
        <v>-2.0738599999999963</v>
      </c>
      <c r="F24" s="2">
        <f>'data from JD'!F24+'data from JD'!P24/1000</f>
        <v>1.25E-4</v>
      </c>
      <c r="G24" s="2">
        <f>'Rel to Acc'!G24-104.7</f>
        <v>7.0924999999988358E-2</v>
      </c>
      <c r="H24" s="2">
        <f>'data from JD'!L24+'data from JD'!R24</f>
        <v>-8.0435622717000008</v>
      </c>
      <c r="I24" s="3">
        <v>-1.6094320299999999E-2</v>
      </c>
      <c r="J24" s="3">
        <v>1.8666769659999999E-2</v>
      </c>
    </row>
    <row r="25" spans="1:16" x14ac:dyDescent="0.25">
      <c r="A25" s="4" t="s">
        <v>44</v>
      </c>
      <c r="B25" s="4" t="s">
        <v>43</v>
      </c>
      <c r="D25" s="2">
        <f>'Rel to Acc'!D25-$D$56</f>
        <v>-93.506498000000022</v>
      </c>
      <c r="E25" s="2">
        <f>'Rel to Acc'!E25-80.6</f>
        <v>-1.166883999999996</v>
      </c>
      <c r="F25" s="2">
        <f>'data from JD'!F25+'data from JD'!P25/1000</f>
        <v>-0.91003700003305099</v>
      </c>
      <c r="G25" s="2">
        <f>'Rel to Acc'!G25-104.7</f>
        <v>-3.7000000006059963E-5</v>
      </c>
      <c r="H25" s="2">
        <f>'data from JD'!L25+'data from JD'!R25</f>
        <v>-8.0426300000000008</v>
      </c>
      <c r="I25" s="3">
        <v>2.8600000000000001E-3</v>
      </c>
      <c r="J25" s="3">
        <v>-4.0099999999999997E-3</v>
      </c>
    </row>
    <row r="26" spans="1:16" x14ac:dyDescent="0.25">
      <c r="A26" s="4" t="s">
        <v>45</v>
      </c>
      <c r="D26" s="2">
        <f>'Rel to Acc'!D26-$D$56</f>
        <v>-25.759680000000003</v>
      </c>
      <c r="E26" s="2">
        <f>'Rel to Acc'!E26-80.6</f>
        <v>7.1499999999957708E-4</v>
      </c>
      <c r="F26" s="2">
        <f>'data from JD'!F26+'data from JD'!P26/1000</f>
        <v>4.7599999999999997E-4</v>
      </c>
      <c r="G26" s="2">
        <f>'Rel to Acc'!G26-104.7</f>
        <v>4.7600000000613818E-4</v>
      </c>
      <c r="H26" s="2">
        <f>'data from JD'!L26+'data from JD'!R26</f>
        <v>0</v>
      </c>
      <c r="I26" s="3"/>
      <c r="J26" s="3"/>
    </row>
    <row r="27" spans="1:16" x14ac:dyDescent="0.25">
      <c r="A27" s="4" t="s">
        <v>54</v>
      </c>
      <c r="B27" s="4" t="s">
        <v>26</v>
      </c>
      <c r="D27" s="2">
        <f>'Rel to Acc'!D27-$D$56</f>
        <v>-25.544550000000015</v>
      </c>
      <c r="E27" s="2">
        <f>'Rel to Acc'!E27-80.6</f>
        <v>0</v>
      </c>
      <c r="F27" s="2">
        <f>'data from JD'!F27+'data from JD'!P27/1000</f>
        <v>-0.89004400002670281</v>
      </c>
      <c r="G27" s="2">
        <f>'Rel to Acc'!G27-104.7</f>
        <v>-4.4000000002597517E-5</v>
      </c>
      <c r="H27" s="2">
        <f>'data from JD'!L27+'data from JD'!R27</f>
        <v>-2.5799999999999998E-3</v>
      </c>
      <c r="I27" s="3">
        <v>1.49E-2</v>
      </c>
      <c r="J27" s="3">
        <v>6.8799999999999998E-3</v>
      </c>
    </row>
    <row r="28" spans="1:16" x14ac:dyDescent="0.25">
      <c r="A28" s="4" t="s">
        <v>55</v>
      </c>
      <c r="B28" s="4" t="s">
        <v>27</v>
      </c>
      <c r="D28" s="2">
        <f>'Rel to Acc'!D28-$D$56</f>
        <v>-19.657015999999999</v>
      </c>
      <c r="E28" s="2">
        <f>'Rel to Acc'!E28-80.6</f>
        <v>6.0000000004833964E-5</v>
      </c>
      <c r="F28" s="2">
        <f>'data from JD'!F28+'data from JD'!P28/1000</f>
        <v>-0.88995200002670272</v>
      </c>
      <c r="G28" s="2">
        <f>'Rel to Acc'!G28-104.7</f>
        <v>4.8000000006709342E-5</v>
      </c>
      <c r="H28" s="2">
        <f>'data from JD'!L28+'data from JD'!R28</f>
        <v>-2.0629999999999999E-2</v>
      </c>
      <c r="I28" s="3">
        <v>1.375E-2</v>
      </c>
      <c r="J28" s="3">
        <v>1.5469999999999999E-2</v>
      </c>
    </row>
    <row r="29" spans="1:16" x14ac:dyDescent="0.25">
      <c r="A29" s="4" t="s">
        <v>56</v>
      </c>
      <c r="B29" s="4" t="s">
        <v>28</v>
      </c>
      <c r="D29" s="2">
        <f>'Rel to Acc'!D29-$D$56</f>
        <v>-23.245670000000018</v>
      </c>
      <c r="E29" s="2">
        <f>'Rel to Acc'!E29-80.6</f>
        <v>1.1000000000649379E-4</v>
      </c>
      <c r="F29" s="2">
        <f>'data from JD'!F29+'data from JD'!P29/1000</f>
        <v>-8.9999999999999985E-6</v>
      </c>
      <c r="G29" s="2">
        <f>'Rel to Acc'!G29-104.7</f>
        <v>-9.0000000056988938E-6</v>
      </c>
      <c r="H29" s="2">
        <f>'data from JD'!L29+'data from JD'!R29</f>
        <v>-8.5999999999999998E-4</v>
      </c>
      <c r="I29" s="3">
        <v>3.15E-3</v>
      </c>
      <c r="J29" s="3">
        <v>2.8649999999999998E-2</v>
      </c>
    </row>
    <row r="30" spans="1:16" x14ac:dyDescent="0.25">
      <c r="A30" s="4" t="s">
        <v>57</v>
      </c>
      <c r="B30" s="4" t="s">
        <v>29</v>
      </c>
      <c r="D30" s="2">
        <f>'Rel to Acc'!D30-$D$56</f>
        <v>-18.89034399999997</v>
      </c>
      <c r="E30" s="2">
        <f>'Rel to Acc'!E30-80.6</f>
        <v>1.0000000003174137E-5</v>
      </c>
      <c r="F30" s="2">
        <f>'data from JD'!F30+'data from JD'!P30/1000</f>
        <v>3.1999999999999999E-5</v>
      </c>
      <c r="G30" s="2">
        <f>'Rel to Acc'!G30-104.7</f>
        <v>3.2000000004472895E-5</v>
      </c>
      <c r="H30" s="2">
        <f>'data from JD'!L30+'data from JD'!R30</f>
        <v>-7.7299999999999999E-3</v>
      </c>
      <c r="I30" s="3">
        <v>2.034E-2</v>
      </c>
      <c r="J30" s="3">
        <v>-5.4400000000000004E-3</v>
      </c>
    </row>
    <row r="31" spans="1:16" x14ac:dyDescent="0.25">
      <c r="A31" s="4" t="s">
        <v>58</v>
      </c>
      <c r="B31" s="4" t="s">
        <v>23</v>
      </c>
      <c r="D31" s="2">
        <f>'Rel to Acc'!D31-$D$56</f>
        <v>-14.798949999999991</v>
      </c>
      <c r="E31" s="2">
        <f>'Rel to Acc'!E31-80.6</f>
        <v>3.9999999998485691E-5</v>
      </c>
      <c r="F31" s="2">
        <f>'data from JD'!F31+'data from JD'!P31/1000</f>
        <v>-0.12002400003808963</v>
      </c>
      <c r="G31" s="2">
        <f>'Rel to Acc'!G31-104.7</f>
        <v>-2.3999999996249244E-5</v>
      </c>
      <c r="H31" s="2">
        <f>'data from JD'!L31+'data from JD'!R31</f>
        <v>-1.261E-2</v>
      </c>
      <c r="I31" s="3">
        <v>-2.2630000000000001E-2</v>
      </c>
      <c r="J31" s="3">
        <v>7.45E-3</v>
      </c>
      <c r="L31" s="4">
        <v>5270</v>
      </c>
      <c r="M31" s="4">
        <v>10002</v>
      </c>
      <c r="N31" s="4">
        <v>16845</v>
      </c>
      <c r="O31" s="4">
        <v>20638</v>
      </c>
      <c r="P31" s="4">
        <v>24431</v>
      </c>
    </row>
    <row r="32" spans="1:16" x14ac:dyDescent="0.25">
      <c r="A32" s="4" t="s">
        <v>59</v>
      </c>
      <c r="B32" s="4" t="s">
        <v>22</v>
      </c>
      <c r="D32" s="2">
        <f>'Rel to Acc'!D32-$D$56</f>
        <v>-13.26243999999997</v>
      </c>
      <c r="E32" s="2">
        <f>'Rel to Acc'!E32-80.6</f>
        <v>-3.9999999998485691E-5</v>
      </c>
      <c r="F32" s="2">
        <f>'data from JD'!F32+'data from JD'!P32/1000</f>
        <v>0.17991300000029103</v>
      </c>
      <c r="G32" s="2">
        <f>'Rel to Acc'!G32-104.7</f>
        <v>-8.6999999993508936E-5</v>
      </c>
      <c r="H32" s="2">
        <f>'data from JD'!L32+'data from JD'!R32</f>
        <v>-1.15E-3</v>
      </c>
      <c r="I32" s="3">
        <v>8.5900000000000004E-3</v>
      </c>
      <c r="J32" s="3">
        <v>5.6999999999999998E-4</v>
      </c>
    </row>
    <row r="33" spans="1:10" x14ac:dyDescent="0.25">
      <c r="A33" s="4" t="s">
        <v>60</v>
      </c>
      <c r="B33" s="4" t="s">
        <v>20</v>
      </c>
      <c r="D33" s="2">
        <f>'Rel to Acc'!D33-$D$56</f>
        <v>-10.341864999999984</v>
      </c>
      <c r="E33" s="2">
        <f>'Rel to Acc'!E33-80.6</f>
        <v>-0.36140899999999476</v>
      </c>
      <c r="F33" s="2">
        <f>'data from JD'!F33+'data from JD'!P33/1000</f>
        <v>0.18153199999524153</v>
      </c>
      <c r="G33" s="2">
        <f>'Rel to Acc'!G33-104.7</f>
        <v>-4.6799999999791453E-4</v>
      </c>
      <c r="H33" s="2">
        <f>'data from JD'!L33+'data from JD'!R33</f>
        <v>-4.6595800000000001</v>
      </c>
      <c r="I33" s="3">
        <v>8.0500000000000002E-2</v>
      </c>
      <c r="J33" s="3">
        <v>-0.15642</v>
      </c>
    </row>
    <row r="34" spans="1:10" x14ac:dyDescent="0.25">
      <c r="A34" s="4" t="s">
        <v>61</v>
      </c>
      <c r="B34" s="4" t="s">
        <v>21</v>
      </c>
      <c r="D34" s="2">
        <f>'Rel to Acc'!D34-$D$56</f>
        <v>-10.342528000000016</v>
      </c>
      <c r="E34" s="2">
        <f>'Rel to Acc'!E34-80.6</f>
        <v>0.36017900000001646</v>
      </c>
      <c r="F34" s="2">
        <f>'data from JD'!F34+'data from JD'!P34/1000</f>
        <v>0.18081299999524153</v>
      </c>
      <c r="G34" s="2">
        <f>'Rel to Acc'!G34-104.7</f>
        <v>-1.1870000000016034E-3</v>
      </c>
      <c r="H34" s="2">
        <f>'data from JD'!L34+'data from JD'!R34</f>
        <v>4.5707700000000004</v>
      </c>
      <c r="I34" s="3">
        <v>-0.13464999999999999</v>
      </c>
      <c r="J34" s="3">
        <v>3.0939999999999999E-2</v>
      </c>
    </row>
    <row r="35" spans="1:10" x14ac:dyDescent="0.25">
      <c r="A35" s="4" t="s">
        <v>62</v>
      </c>
      <c r="B35" s="2" t="s">
        <v>92</v>
      </c>
      <c r="D35" s="2">
        <f>'Rel to Acc'!D35-$D$56</f>
        <v>-9.9523300000000177</v>
      </c>
      <c r="E35" s="2">
        <f>'Rel to Acc'!E35-80.6</f>
        <v>-0.26569000000000642</v>
      </c>
      <c r="F35" s="2">
        <f>'data from JD'!F35+'data from JD'!P35/1000</f>
        <v>0.18167999999524154</v>
      </c>
      <c r="G35" s="2">
        <f>'Rel to Acc'!G35-104.7</f>
        <v>-3.2000000000209639E-4</v>
      </c>
      <c r="H35" s="2">
        <f>'data from JD'!L35+'data from JD'!R35</f>
        <v>-4.7606999999999999</v>
      </c>
      <c r="I35" s="3"/>
      <c r="J35" s="3"/>
    </row>
    <row r="36" spans="1:10" x14ac:dyDescent="0.25">
      <c r="A36" s="4" t="s">
        <v>63</v>
      </c>
      <c r="B36" s="2" t="s">
        <v>91</v>
      </c>
      <c r="D36" s="2">
        <f>'Rel to Acc'!D36-$D$56</f>
        <v>-9.9527899999999931</v>
      </c>
      <c r="E36" s="2">
        <f>'Rel to Acc'!E36-80.6</f>
        <v>0.26498999999999739</v>
      </c>
      <c r="F36" s="2">
        <f>'data from JD'!F36+'data from JD'!P36/1000</f>
        <v>0.18207999999524152</v>
      </c>
      <c r="G36" s="2">
        <f>'Rel to Acc'!G36-104.7</f>
        <v>7.9999999996971383E-5</v>
      </c>
      <c r="H36" s="2">
        <f>'data from JD'!L36+'data from JD'!R36</f>
        <v>4.9527999999999999</v>
      </c>
      <c r="I36" s="3"/>
      <c r="J36" s="3"/>
    </row>
    <row r="37" spans="1:10" x14ac:dyDescent="0.25">
      <c r="A37" s="4" t="s">
        <v>64</v>
      </c>
      <c r="D37" s="2">
        <f>'Rel to Acc'!D37-$D$56</f>
        <v>-4.1796799999999621</v>
      </c>
      <c r="E37" s="2">
        <f>'Rel to Acc'!E37-80.6</f>
        <v>-1.9000000000346517E-4</v>
      </c>
      <c r="F37" s="2">
        <f>'data from JD'!F37+'data from JD'!P37/1000</f>
        <v>-5.0000000000000002E-5</v>
      </c>
      <c r="G37" s="2">
        <f>'Rel to Acc'!G37-104.7</f>
        <v>-5.0000000001659828E-5</v>
      </c>
      <c r="H37" s="2">
        <f>'data from JD'!L37+'data from JD'!R37</f>
        <v>0</v>
      </c>
    </row>
    <row r="38" spans="1:10" x14ac:dyDescent="0.25">
      <c r="A38" s="4" t="s">
        <v>65</v>
      </c>
      <c r="B38" s="4" t="s">
        <v>24</v>
      </c>
      <c r="D38" s="2">
        <f>'Rel to Acc'!D38-$D$56</f>
        <v>-1.289999999983138E-3</v>
      </c>
      <c r="E38" s="2">
        <f>'Rel to Acc'!E38-80.6</f>
        <v>0</v>
      </c>
      <c r="F38" s="2">
        <f>'data from JD'!F38+'data from JD'!P38/1000</f>
        <v>6.0600139999340072</v>
      </c>
      <c r="G38" s="2">
        <f>'Rel to Acc'!G38-104.7</f>
        <v>1.3999999993075107E-5</v>
      </c>
      <c r="H38" s="2">
        <f>'data from JD'!L38+'data from JD'!R38</f>
        <v>1.7760000000000001E-2</v>
      </c>
      <c r="I38" s="3">
        <v>1.289E-2</v>
      </c>
      <c r="J38" s="3">
        <v>2.0100000000000001E-3</v>
      </c>
    </row>
    <row r="39" spans="1:10" x14ac:dyDescent="0.25">
      <c r="A39" s="4" t="s">
        <v>66</v>
      </c>
      <c r="B39" s="4" t="s">
        <v>46</v>
      </c>
      <c r="D39" s="2">
        <f>'Rel to Acc'!D39-$D$56</f>
        <v>0.226820000000032</v>
      </c>
      <c r="E39" s="2">
        <f>'Rel to Acc'!E39-80.6</f>
        <v>1.0300000000000864E-3</v>
      </c>
      <c r="F39" s="2">
        <f>'data from JD'!F39+'data from JD'!P39/1000</f>
        <v>6.1090199999782993</v>
      </c>
      <c r="G39" s="2">
        <f>'Rel to Acc'!G39-104.7</f>
        <v>-9.7999999999842657E-4</v>
      </c>
      <c r="H39" s="2">
        <f>'data from JD'!L39+'data from JD'!R39</f>
        <v>1.6330000000000001E-2</v>
      </c>
      <c r="I39" s="3">
        <v>4.24E-2</v>
      </c>
      <c r="J39" s="3">
        <v>4.5799999999999999E-3</v>
      </c>
    </row>
    <row r="40" spans="1:10" x14ac:dyDescent="0.25">
      <c r="A40" s="4" t="s">
        <v>67</v>
      </c>
      <c r="B40" s="4" t="s">
        <v>18</v>
      </c>
      <c r="D40" s="2">
        <f>'Rel to Acc'!D40-$D$56</f>
        <v>-1.2456900000000246</v>
      </c>
      <c r="E40" s="2">
        <f>'Rel to Acc'!E40-80.6</f>
        <v>3.5900000000026466E-3</v>
      </c>
      <c r="F40" s="2">
        <f>'data from JD'!F40+'data from JD'!P40/1000</f>
        <v>0.18101200000029105</v>
      </c>
      <c r="G40" s="2">
        <f>'Rel to Acc'!G40-104.7</f>
        <v>1.0120000000028995E-3</v>
      </c>
      <c r="H40" s="2">
        <f>'data from JD'!L40+'data from JD'!R40</f>
        <v>5.4140000000000001E-2</v>
      </c>
      <c r="I40" s="3">
        <v>-2.6069999999999999E-2</v>
      </c>
      <c r="J40" s="3">
        <v>-1.8982699999999999</v>
      </c>
    </row>
    <row r="41" spans="1:10" x14ac:dyDescent="0.25">
      <c r="A41" s="4" t="s">
        <v>86</v>
      </c>
      <c r="B41" s="4" t="s">
        <v>19</v>
      </c>
      <c r="C41" s="2" t="s">
        <v>47</v>
      </c>
      <c r="D41" s="2">
        <f>'Rel to Acc'!D41-$D$56</f>
        <v>-1.5840900000000033</v>
      </c>
      <c r="E41" s="2">
        <f>'Rel to Acc'!E41-80.6</f>
        <v>1.1499999999955435E-3</v>
      </c>
      <c r="F41" s="2">
        <f>'data from JD'!F41+'data from JD'!P41/1000</f>
        <v>356.07161199998836</v>
      </c>
      <c r="G41" s="2">
        <f>'Rel to Acc'!G41-104.7</f>
        <v>1.6119999999943957E-3</v>
      </c>
      <c r="H41" s="2">
        <f>'data from JD'!L41+'data from JD'!R41</f>
        <v>-8.5379999999999998E-2</v>
      </c>
      <c r="I41" s="3">
        <v>-0.61192999999999997</v>
      </c>
      <c r="J41" s="3">
        <v>0.75231999999999999</v>
      </c>
    </row>
    <row r="42" spans="1:10" x14ac:dyDescent="0.25">
      <c r="A42" s="4" t="s">
        <v>98</v>
      </c>
      <c r="C42" s="2"/>
      <c r="D42" s="2">
        <f>'Rel to Acc'!D42-$D$56</f>
        <v>-1.4967899999999759</v>
      </c>
      <c r="E42" s="2">
        <f>'Rel to Acc'!E42-80.6</f>
        <v>1.0199085912603323E-3</v>
      </c>
      <c r="F42" s="2">
        <f>'data from JD'!F42+'data from JD'!P42/1000</f>
        <v>6.7963467091822368E-4</v>
      </c>
      <c r="G42" s="2">
        <f>'Rel to Acc'!G42-104.7</f>
        <v>6.7963467091658458E-4</v>
      </c>
      <c r="H42" s="2">
        <f>'data from JD'!L42+'data from JD'!R42</f>
        <v>0</v>
      </c>
      <c r="I42" s="3">
        <v>0</v>
      </c>
      <c r="J42" s="3">
        <v>0.75231999999999999</v>
      </c>
    </row>
    <row r="43" spans="1:10" x14ac:dyDescent="0.25">
      <c r="A43" s="4" t="s">
        <v>99</v>
      </c>
      <c r="C43" s="2"/>
      <c r="D43" s="2">
        <f>'Rel to Acc'!D43-$D$56</f>
        <v>-0.90989999999999327</v>
      </c>
      <c r="E43" s="2">
        <f>'Rel to Acc'!E43-80.6</f>
        <v>1.4534234759366882E-4</v>
      </c>
      <c r="F43" s="2">
        <f>'data from JD'!F43+'data from JD'!P43/1000</f>
        <v>-5.5883829601072943E-3</v>
      </c>
      <c r="G43" s="2">
        <f>'Rel to Acc'!G43-104.7</f>
        <v>-5.5883829601128809E-3</v>
      </c>
      <c r="H43" s="2">
        <f>'data from JD'!L43+'data from JD'!R43</f>
        <v>0</v>
      </c>
      <c r="I43" s="3">
        <v>0</v>
      </c>
      <c r="J43" s="3">
        <v>0.75231999999999999</v>
      </c>
    </row>
    <row r="44" spans="1:10" x14ac:dyDescent="0.25">
      <c r="A44" s="4" t="s">
        <v>124</v>
      </c>
      <c r="D44" s="2">
        <f>'Rel to Acc'!D44-$D$56</f>
        <v>-6.8539999999984502E-2</v>
      </c>
      <c r="E44" s="2">
        <f>'Rel to Acc'!E44-80.6</f>
        <v>-9.0000000000145519E-4</v>
      </c>
      <c r="F44" s="2" t="e">
        <f>'data from JD'!#REF!+'data from JD'!#REF!/1000</f>
        <v>#REF!</v>
      </c>
      <c r="G44" s="2">
        <f>'Rel to Acc'!G44-104.7</f>
        <v>3.2899999999358442E-4</v>
      </c>
      <c r="H44" s="2">
        <v>1.6330000000000001E-2</v>
      </c>
      <c r="I44" s="3">
        <v>-4.9270000000000001E-2</v>
      </c>
      <c r="J44" s="3">
        <v>8.8239999999999999E-2</v>
      </c>
    </row>
    <row r="45" spans="1:10" x14ac:dyDescent="0.25">
      <c r="A45" s="4" t="s">
        <v>125</v>
      </c>
      <c r="D45" s="2">
        <f>'Rel to Acc'!D45-$D$56</f>
        <v>0.51716000000004669</v>
      </c>
      <c r="E45" s="2">
        <f>'Rel to Acc'!E45-80.6</f>
        <v>-6.900000000058526E-4</v>
      </c>
      <c r="F45" s="2">
        <f>'data from JD'!F48+'data from JD'!P48/1000</f>
        <v>6.4099349999598365</v>
      </c>
      <c r="G45" s="2">
        <f>'Rel to Acc'!G45-104.7</f>
        <v>-5.7999999995672624E-5</v>
      </c>
      <c r="H45" s="2">
        <v>2.2630000000000001E-2</v>
      </c>
      <c r="I45" s="3">
        <v>-3.524E-2</v>
      </c>
      <c r="J45" s="3">
        <v>8.8800000000000007E-3</v>
      </c>
    </row>
    <row r="46" spans="1:10" x14ac:dyDescent="0.25">
      <c r="A46" s="4" t="s">
        <v>126</v>
      </c>
      <c r="D46" s="2">
        <f>'Rel to Acc'!D46-$D$56</f>
        <v>1.1030499999999961</v>
      </c>
      <c r="E46" s="2">
        <f>'Rel to Acc'!E46-80.6</f>
        <v>1.0000000003174137E-5</v>
      </c>
      <c r="F46" s="2">
        <f>'data from JD'!F49+'data from JD'!P49/1000</f>
        <v>0.17997900000029105</v>
      </c>
      <c r="G46" s="2">
        <f>'Rel to Acc'!G46-104.7</f>
        <v>-3.2500000000368345E-4</v>
      </c>
      <c r="H46" s="2">
        <v>2.9219999999999999E-2</v>
      </c>
      <c r="I46" s="3">
        <v>-6.8180000000000004E-2</v>
      </c>
      <c r="J46" s="3">
        <v>2.9510000000000002E-2</v>
      </c>
    </row>
    <row r="47" spans="1:10" x14ac:dyDescent="0.25">
      <c r="A47" s="4" t="s">
        <v>127</v>
      </c>
      <c r="D47" s="2">
        <f>'Rel to Acc'!D47-$D$56</f>
        <v>1.4898000000000025</v>
      </c>
      <c r="E47" s="2">
        <f>'Rel to Acc'!E47-80.6</f>
        <v>1.8000000000029104E-4</v>
      </c>
      <c r="F47" s="2">
        <f>'data from JD'!F50+'data from JD'!P50/1000</f>
        <v>0.18225100000029104</v>
      </c>
      <c r="G47" s="2">
        <f>'Rel to Acc'!G47-104.7</f>
        <v>2.3099999999942611E-4</v>
      </c>
      <c r="H47" s="2">
        <v>-1.72E-3</v>
      </c>
      <c r="I47" s="3">
        <v>0.10972</v>
      </c>
      <c r="J47" s="3">
        <v>6.5900000000000004E-3</v>
      </c>
    </row>
    <row r="48" spans="1:10" x14ac:dyDescent="0.25">
      <c r="A48" s="4" t="s">
        <v>68</v>
      </c>
      <c r="B48" s="4" t="s">
        <v>17</v>
      </c>
      <c r="D48" s="2">
        <f>'Rel to Acc'!D48-$D$56</f>
        <v>-0.96420999999998003</v>
      </c>
      <c r="E48" s="2">
        <f>'Rel to Acc'!E48-80.6</f>
        <v>6.9999999993797246E-5</v>
      </c>
      <c r="F48" s="2">
        <f>'data from JD'!F48+'data from JD'!P48/1000</f>
        <v>6.4099349999598365</v>
      </c>
      <c r="G48" s="2">
        <f>'Rel to Acc'!G48-104.7</f>
        <v>-6.5000000006421033E-5</v>
      </c>
      <c r="H48" s="2">
        <f>'data from JD'!L48+'data from JD'!R48</f>
        <v>2.8600000000000001E-3</v>
      </c>
      <c r="I48" s="3">
        <v>-2.3199999999999998E-2</v>
      </c>
      <c r="J48" s="3">
        <v>4.7840000000000001E-2</v>
      </c>
    </row>
    <row r="49" spans="1:10" x14ac:dyDescent="0.25">
      <c r="A49" s="4" t="s">
        <v>69</v>
      </c>
      <c r="B49" s="4" t="s">
        <v>15</v>
      </c>
      <c r="D49" s="2">
        <f>'Rel to Acc'!D49-$D$56</f>
        <v>4.3580000000000041</v>
      </c>
      <c r="E49" s="2">
        <f>'Rel to Acc'!E49-80.6</f>
        <v>5.2900000000022374E-3</v>
      </c>
      <c r="F49" s="2">
        <f>'data from JD'!F49+'data from JD'!P49/1000</f>
        <v>0.17997900000029105</v>
      </c>
      <c r="G49" s="2">
        <f>'Rel to Acc'!G49-104.7</f>
        <v>-2.1000000003823516E-5</v>
      </c>
      <c r="H49" s="2">
        <f>'data from JD'!L49+'data from JD'!R49</f>
        <v>-7.0190000000000002E-2</v>
      </c>
      <c r="I49" s="3">
        <v>4.1829999999999999E-2</v>
      </c>
      <c r="J49" s="3">
        <v>-1.49E-2</v>
      </c>
    </row>
    <row r="50" spans="1:10" x14ac:dyDescent="0.25">
      <c r="A50" s="4" t="s">
        <v>70</v>
      </c>
      <c r="B50" s="4" t="s">
        <v>16</v>
      </c>
      <c r="D50" s="2">
        <f>'Rel to Acc'!D50-$D$56</f>
        <v>4.1668700000000172</v>
      </c>
      <c r="E50" s="2">
        <f>'Rel to Acc'!E50-80.6</f>
        <v>3.0799999999970851E-3</v>
      </c>
      <c r="F50" s="2">
        <f>'data from JD'!F50+'data from JD'!P50/1000</f>
        <v>0.18225100000029104</v>
      </c>
      <c r="G50" s="2">
        <f>'Rel to Acc'!G50-104.7</f>
        <v>2.2510000000011132E-3</v>
      </c>
      <c r="H50" s="2">
        <f>'data from JD'!L50+'data from JD'!R50</f>
        <v>4.6120000000000001E-2</v>
      </c>
      <c r="I50" s="3">
        <v>4.2689999999999999E-2</v>
      </c>
      <c r="J50" s="3">
        <v>-0.18134</v>
      </c>
    </row>
    <row r="51" spans="1:10" x14ac:dyDescent="0.25">
      <c r="A51" s="4" t="s">
        <v>71</v>
      </c>
      <c r="D51" s="2">
        <f>'Rel to Acc'!D51-$D$56</f>
        <v>15.06031999999999</v>
      </c>
      <c r="E51" s="2">
        <f>'Rel to Acc'!E51-80.6</f>
        <v>-2.9999999995311555E-5</v>
      </c>
      <c r="F51" s="2">
        <f>'data from JD'!F51+'data from JD'!P51/1000</f>
        <v>2.7E-4</v>
      </c>
      <c r="G51" s="2">
        <f>'Rel to Acc'!G51-104.7</f>
        <v>2.7000000000043656E-4</v>
      </c>
      <c r="H51" s="2">
        <f>'data from JD'!L51+'data from JD'!R51</f>
        <v>0</v>
      </c>
    </row>
    <row r="53" spans="1:10" ht="15.75" x14ac:dyDescent="0.25">
      <c r="D53" s="11" t="s">
        <v>87</v>
      </c>
    </row>
    <row r="55" spans="1:10" x14ac:dyDescent="0.25">
      <c r="D55" s="4">
        <v>398.13362000000001</v>
      </c>
      <c r="E55" s="4">
        <v>80.599999999999994</v>
      </c>
      <c r="G55" s="4">
        <v>104.7</v>
      </c>
    </row>
    <row r="56" spans="1:10" x14ac:dyDescent="0.25">
      <c r="B56" s="4" t="s">
        <v>93</v>
      </c>
      <c r="D56" s="4">
        <v>400.02967999999998</v>
      </c>
    </row>
  </sheetData>
  <mergeCells count="2">
    <mergeCell ref="A2:D5"/>
    <mergeCell ref="L10:P10"/>
  </mergeCells>
  <pageMargins left="0.7" right="0.7" top="0.75" bottom="0.75" header="0.3" footer="0.3"/>
  <pageSetup paperSize="17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2"/>
  <sheetViews>
    <sheetView topLeftCell="A16" workbookViewId="0">
      <selection activeCell="E47" sqref="E47"/>
    </sheetView>
  </sheetViews>
  <sheetFormatPr defaultRowHeight="15" x14ac:dyDescent="0.25"/>
  <cols>
    <col min="1" max="1" width="38" customWidth="1"/>
    <col min="2" max="2" width="12.5703125" customWidth="1"/>
    <col min="3" max="3" width="2" customWidth="1"/>
    <col min="4" max="4" width="10.7109375" bestFit="1" customWidth="1"/>
    <col min="5" max="5" width="10.28515625" style="4" customWidth="1"/>
    <col min="6" max="6" width="12.140625" style="4" customWidth="1"/>
    <col min="7" max="7" width="13.85546875" bestFit="1" customWidth="1"/>
    <col min="8" max="8" width="11.85546875" style="4" hidden="1" customWidth="1"/>
    <col min="9" max="10" width="11.85546875" style="4" customWidth="1"/>
    <col min="11" max="11" width="11.140625" customWidth="1"/>
    <col min="13" max="13" width="3.42578125" customWidth="1"/>
    <col min="16" max="16" width="13" customWidth="1"/>
    <col min="17" max="17" width="3.85546875" customWidth="1"/>
    <col min="21" max="21" width="2.140625" customWidth="1"/>
  </cols>
  <sheetData>
    <row r="1" spans="1:26" s="4" customFormat="1" x14ac:dyDescent="0.25">
      <c r="A1" s="4" t="s">
        <v>72</v>
      </c>
    </row>
    <row r="2" spans="1:26" s="4" customFormat="1" x14ac:dyDescent="0.25">
      <c r="A2" s="12" t="s">
        <v>73</v>
      </c>
      <c r="B2" s="12"/>
      <c r="C2" s="12"/>
      <c r="D2" s="12"/>
      <c r="E2" s="9"/>
      <c r="F2" s="9"/>
    </row>
    <row r="3" spans="1:26" s="4" customFormat="1" x14ac:dyDescent="0.25">
      <c r="A3" s="12"/>
      <c r="B3" s="12"/>
      <c r="C3" s="12"/>
      <c r="D3" s="12"/>
      <c r="E3" s="9"/>
      <c r="F3" s="9"/>
    </row>
    <row r="4" spans="1:26" s="4" customFormat="1" x14ac:dyDescent="0.25">
      <c r="A4" s="12"/>
      <c r="B4" s="12"/>
      <c r="C4" s="12"/>
      <c r="D4" s="12"/>
      <c r="E4" s="9"/>
      <c r="F4" s="9"/>
      <c r="K4" s="4">
        <f>SIN(-0.0852*3.1416/180)</f>
        <v>-1.4870234519721423E-3</v>
      </c>
    </row>
    <row r="5" spans="1:26" s="4" customFormat="1" x14ac:dyDescent="0.25">
      <c r="A5" s="13"/>
      <c r="B5" s="13"/>
      <c r="C5" s="13"/>
      <c r="D5" s="13"/>
      <c r="E5" s="10"/>
      <c r="F5" s="10"/>
    </row>
    <row r="6" spans="1:26" s="4" customFormat="1" x14ac:dyDescent="0.25"/>
    <row r="7" spans="1:26" s="4" customFormat="1" x14ac:dyDescent="0.25"/>
    <row r="8" spans="1:26" s="4" customFormat="1" x14ac:dyDescent="0.25"/>
    <row r="10" spans="1:26" x14ac:dyDescent="0.25">
      <c r="A10" s="5" t="s">
        <v>30</v>
      </c>
      <c r="B10" s="6" t="s">
        <v>31</v>
      </c>
      <c r="C10" s="6"/>
      <c r="D10" s="6" t="s">
        <v>48</v>
      </c>
      <c r="E10" s="6"/>
      <c r="F10" s="6"/>
      <c r="G10" s="6"/>
      <c r="H10" s="6"/>
      <c r="I10" s="6"/>
      <c r="J10" s="6"/>
      <c r="K10" s="6"/>
      <c r="L10" s="6"/>
      <c r="M10" s="6"/>
      <c r="N10" s="6" t="s">
        <v>77</v>
      </c>
      <c r="O10" s="6"/>
      <c r="P10" s="6"/>
      <c r="Q10" s="6"/>
      <c r="R10" s="14" t="s">
        <v>37</v>
      </c>
      <c r="S10" s="14"/>
      <c r="T10" s="14"/>
      <c r="U10" s="6"/>
      <c r="V10" s="14" t="s">
        <v>49</v>
      </c>
      <c r="W10" s="14"/>
      <c r="X10" s="14"/>
      <c r="Y10" s="14"/>
      <c r="Z10" s="14"/>
    </row>
    <row r="11" spans="1:26" x14ac:dyDescent="0.25">
      <c r="D11" s="6" t="s">
        <v>32</v>
      </c>
      <c r="E11" s="6" t="s">
        <v>88</v>
      </c>
      <c r="F11" s="6" t="s">
        <v>89</v>
      </c>
      <c r="G11" s="6" t="s">
        <v>13</v>
      </c>
      <c r="H11" s="6"/>
      <c r="I11" s="6"/>
      <c r="J11" s="6"/>
      <c r="K11" s="6" t="s">
        <v>14</v>
      </c>
      <c r="L11" s="6" t="s">
        <v>36</v>
      </c>
      <c r="M11" s="6"/>
      <c r="N11" s="6" t="s">
        <v>74</v>
      </c>
      <c r="O11" s="6" t="s">
        <v>75</v>
      </c>
      <c r="P11" s="6" t="s">
        <v>76</v>
      </c>
      <c r="Q11" s="6"/>
      <c r="R11" s="6" t="s">
        <v>33</v>
      </c>
      <c r="S11" s="6" t="s">
        <v>34</v>
      </c>
      <c r="T11" s="6" t="s">
        <v>35</v>
      </c>
      <c r="U11" s="6"/>
      <c r="V11" s="6" t="s">
        <v>38</v>
      </c>
      <c r="W11" s="6" t="s">
        <v>39</v>
      </c>
      <c r="X11" s="6" t="s">
        <v>40</v>
      </c>
      <c r="Y11" s="6" t="s">
        <v>41</v>
      </c>
      <c r="Z11" s="6" t="s">
        <v>42</v>
      </c>
    </row>
    <row r="12" spans="1:26" x14ac:dyDescent="0.25">
      <c r="A12" t="s">
        <v>50</v>
      </c>
      <c r="B12" t="s">
        <v>0</v>
      </c>
      <c r="D12" s="2">
        <v>283.50434999999999</v>
      </c>
      <c r="E12" s="2"/>
      <c r="F12" s="2"/>
      <c r="G12" s="2">
        <v>80.599999999999994</v>
      </c>
      <c r="H12" s="2"/>
      <c r="I12" s="2"/>
      <c r="J12" s="2"/>
      <c r="K12" s="2">
        <v>104.7</v>
      </c>
      <c r="L12" s="3">
        <v>0</v>
      </c>
      <c r="N12" s="1">
        <v>9.69</v>
      </c>
      <c r="O12" s="1">
        <v>-0.09</v>
      </c>
      <c r="P12" s="1">
        <v>0.184</v>
      </c>
      <c r="R12" s="3">
        <v>-3.4399999999999999E-3</v>
      </c>
      <c r="S12" s="3">
        <v>-8.0199999999999994E-3</v>
      </c>
      <c r="T12" s="3">
        <v>2.0049999999999998E-2</v>
      </c>
    </row>
    <row r="13" spans="1:26" x14ac:dyDescent="0.25">
      <c r="A13" t="s">
        <v>51</v>
      </c>
      <c r="B13" t="s">
        <v>25</v>
      </c>
      <c r="D13" s="2">
        <v>297.81905</v>
      </c>
      <c r="E13" s="2"/>
      <c r="F13" s="2"/>
      <c r="G13" s="2">
        <v>80.599999999999994</v>
      </c>
      <c r="H13" s="2"/>
      <c r="I13" s="2"/>
      <c r="J13" s="2"/>
      <c r="K13" s="2">
        <v>104.7</v>
      </c>
      <c r="L13" s="3">
        <v>0</v>
      </c>
      <c r="N13" s="1">
        <v>-0.01</v>
      </c>
      <c r="O13" s="1">
        <v>0.02</v>
      </c>
      <c r="P13" s="1">
        <v>-8.9999999999999993E-3</v>
      </c>
      <c r="R13" s="3">
        <v>3.7200000000000002E-3</v>
      </c>
      <c r="S13" s="3">
        <v>2.0100000000000001E-3</v>
      </c>
      <c r="T13" s="3">
        <v>-1.0030000000000001E-2</v>
      </c>
    </row>
    <row r="14" spans="1:26" x14ac:dyDescent="0.25">
      <c r="A14" t="s">
        <v>52</v>
      </c>
      <c r="B14" t="s">
        <v>1</v>
      </c>
      <c r="D14" s="2">
        <v>299.09280000000001</v>
      </c>
      <c r="E14" s="2">
        <f>D55-99.04095</f>
        <v>299.09267</v>
      </c>
      <c r="F14" s="2">
        <f>(D14-E14)*1000</f>
        <v>0.13000000001284207</v>
      </c>
      <c r="G14" s="2">
        <v>80.599999999999994</v>
      </c>
      <c r="H14" s="2"/>
      <c r="I14" s="2"/>
      <c r="J14" s="2"/>
      <c r="K14" s="2">
        <v>104.7</v>
      </c>
      <c r="L14" s="3">
        <v>0</v>
      </c>
      <c r="N14" s="1">
        <v>-0.16</v>
      </c>
      <c r="O14" s="1">
        <v>0.02</v>
      </c>
      <c r="P14" s="1">
        <v>-8.8999999999999996E-2</v>
      </c>
      <c r="R14" s="3">
        <v>2.7220000000000001E-2</v>
      </c>
      <c r="S14" s="3">
        <v>2.5799999999999998E-3</v>
      </c>
      <c r="T14" s="3">
        <v>3.7200000000000002E-3</v>
      </c>
    </row>
    <row r="15" spans="1:26" x14ac:dyDescent="0.25">
      <c r="A15" t="s">
        <v>53</v>
      </c>
      <c r="B15" t="s">
        <v>12</v>
      </c>
      <c r="D15" s="2">
        <v>299.71429999999998</v>
      </c>
      <c r="E15" s="2">
        <f>D55-98.42566</f>
        <v>299.70796000000001</v>
      </c>
      <c r="F15" s="2">
        <f>(D15-E15)*1000</f>
        <v>6.3399999999660395</v>
      </c>
      <c r="G15" s="2">
        <v>80.599999999999994</v>
      </c>
      <c r="H15" s="2"/>
      <c r="I15" s="2"/>
      <c r="J15" s="2"/>
      <c r="K15" s="2">
        <v>104.7</v>
      </c>
      <c r="L15" s="3">
        <v>0</v>
      </c>
      <c r="N15" s="1">
        <v>0.12</v>
      </c>
      <c r="O15" s="1">
        <v>0.05</v>
      </c>
      <c r="P15" s="1">
        <v>-4.8000000000000001E-2</v>
      </c>
      <c r="R15" s="3">
        <v>4.3E-3</v>
      </c>
      <c r="S15" s="3">
        <v>2.836E-2</v>
      </c>
      <c r="T15" s="3">
        <v>-6.0200000000000002E-3</v>
      </c>
      <c r="V15" s="1">
        <v>5565.55</v>
      </c>
      <c r="W15" s="1">
        <v>10259.549999999999</v>
      </c>
      <c r="X15" s="1">
        <v>17143.525000000001</v>
      </c>
      <c r="Y15" s="1">
        <v>20945.125</v>
      </c>
      <c r="Z15" s="1">
        <v>24749.35</v>
      </c>
    </row>
    <row r="16" spans="1:26" x14ac:dyDescent="0.25">
      <c r="A16" t="s">
        <v>3</v>
      </c>
      <c r="B16" t="s">
        <v>2</v>
      </c>
      <c r="D16" s="2">
        <v>305.38864000000001</v>
      </c>
      <c r="E16" s="2">
        <f>D14+6.33102</f>
        <v>305.42382000000003</v>
      </c>
      <c r="F16" s="2">
        <f>(D16-E16)*1000</f>
        <v>-35.180000000025302</v>
      </c>
      <c r="G16" s="2">
        <v>80.302049999999994</v>
      </c>
      <c r="H16" s="2"/>
      <c r="I16" s="2"/>
      <c r="J16" s="2"/>
      <c r="K16" s="2">
        <v>104.7</v>
      </c>
      <c r="L16" s="3">
        <v>-6.5</v>
      </c>
      <c r="N16" s="1">
        <v>-0.114</v>
      </c>
      <c r="O16" s="1">
        <v>5.5E-2</v>
      </c>
      <c r="P16" s="1">
        <v>-7.3999999999999996E-2</v>
      </c>
      <c r="R16" s="3">
        <v>-4.0000000000000002E-4</v>
      </c>
      <c r="S16" s="3">
        <v>3.4399999999999999E-3</v>
      </c>
      <c r="T16" s="3">
        <v>-8.5999999999999998E-4</v>
      </c>
    </row>
    <row r="17" spans="1:26" x14ac:dyDescent="0.25">
      <c r="A17" t="s">
        <v>78</v>
      </c>
      <c r="B17" t="s">
        <v>4</v>
      </c>
      <c r="D17" s="2">
        <v>303.09960000000001</v>
      </c>
      <c r="E17" s="2"/>
      <c r="F17" s="2"/>
      <c r="G17" s="2">
        <v>79.718190000000007</v>
      </c>
      <c r="H17" s="2"/>
      <c r="I17" s="2"/>
      <c r="J17" s="2"/>
      <c r="K17" s="2">
        <v>104.77079999999999</v>
      </c>
      <c r="L17" s="3">
        <v>-8.0500000000000007</v>
      </c>
      <c r="N17" s="1">
        <v>0.1</v>
      </c>
      <c r="O17" s="1">
        <v>0</v>
      </c>
      <c r="P17" s="1">
        <v>-0.27500000000000002</v>
      </c>
      <c r="R17" s="3">
        <v>1.326291213E-2</v>
      </c>
      <c r="S17" s="3">
        <v>-6.6314559800000001E-3</v>
      </c>
      <c r="T17" s="3">
        <v>-5.600031506E-2</v>
      </c>
    </row>
    <row r="18" spans="1:26" x14ac:dyDescent="0.25">
      <c r="A18" t="s">
        <v>79</v>
      </c>
      <c r="B18" t="s">
        <v>5</v>
      </c>
      <c r="D18" s="2">
        <v>304.38852000000003</v>
      </c>
      <c r="E18" s="2"/>
      <c r="F18" s="2"/>
      <c r="G18" s="2">
        <v>79.535889999999995</v>
      </c>
      <c r="H18" s="2"/>
      <c r="I18" s="2"/>
      <c r="J18" s="2"/>
      <c r="K18" s="2">
        <v>104.77079999999999</v>
      </c>
      <c r="L18" s="3">
        <v>-8.0500000000000007</v>
      </c>
      <c r="N18" s="1">
        <v>-0.2</v>
      </c>
      <c r="O18" s="1">
        <v>0.2</v>
      </c>
      <c r="P18" s="1">
        <v>-0.17499999999999999</v>
      </c>
      <c r="R18" s="3">
        <v>8.8761859199999998E-3</v>
      </c>
      <c r="S18" s="3">
        <v>-6.6571393899999996E-3</v>
      </c>
      <c r="T18" s="3">
        <v>-9.3333884859999994E-2</v>
      </c>
    </row>
    <row r="19" spans="1:26" x14ac:dyDescent="0.25">
      <c r="A19" t="s">
        <v>80</v>
      </c>
      <c r="B19" t="s">
        <v>6</v>
      </c>
      <c r="D19" s="2">
        <v>305.66962000000001</v>
      </c>
      <c r="E19" s="2"/>
      <c r="F19" s="2"/>
      <c r="G19" s="2">
        <v>79.354690000000005</v>
      </c>
      <c r="H19" s="2"/>
      <c r="I19" s="2"/>
      <c r="J19" s="2"/>
      <c r="K19" s="2">
        <v>104.77079999999999</v>
      </c>
      <c r="L19" s="3">
        <v>-8.0500000000000007</v>
      </c>
      <c r="N19" s="1">
        <v>0.4</v>
      </c>
      <c r="O19" s="1">
        <v>-0.2</v>
      </c>
      <c r="P19" s="1">
        <v>0</v>
      </c>
      <c r="R19" s="3">
        <v>0</v>
      </c>
      <c r="S19" s="3">
        <v>1.724045548E-2</v>
      </c>
      <c r="T19" s="3">
        <v>-3.7333541509999998E-2</v>
      </c>
    </row>
    <row r="20" spans="1:26" x14ac:dyDescent="0.25">
      <c r="A20" t="s">
        <v>81</v>
      </c>
      <c r="B20" t="s">
        <v>7</v>
      </c>
      <c r="D20" s="2">
        <v>306.66052000000002</v>
      </c>
      <c r="E20" s="2"/>
      <c r="F20" s="2"/>
      <c r="G20" s="2">
        <v>79.214560000000006</v>
      </c>
      <c r="H20" s="2"/>
      <c r="I20" s="2"/>
      <c r="J20" s="2"/>
      <c r="K20" s="2">
        <v>104.77079999999999</v>
      </c>
      <c r="L20" s="3">
        <v>-8.0500000000000007</v>
      </c>
      <c r="N20" s="1">
        <v>-0.1</v>
      </c>
      <c r="O20" s="1">
        <v>0.2</v>
      </c>
      <c r="P20" s="1">
        <v>7.4999999999999997E-2</v>
      </c>
      <c r="R20" s="3">
        <v>0</v>
      </c>
      <c r="S20" s="3">
        <v>-1.361591731E-2</v>
      </c>
      <c r="T20" s="3">
        <v>-9.3333886869999994E-2</v>
      </c>
    </row>
    <row r="21" spans="1:26" x14ac:dyDescent="0.25">
      <c r="A21" t="s">
        <v>82</v>
      </c>
      <c r="B21" t="s">
        <v>8</v>
      </c>
      <c r="D21" s="2">
        <v>307.70424000000003</v>
      </c>
      <c r="E21" s="2"/>
      <c r="F21" s="2"/>
      <c r="G21" s="2">
        <v>79.066929999999999</v>
      </c>
      <c r="H21" s="2"/>
      <c r="I21" s="2"/>
      <c r="J21" s="2"/>
      <c r="K21" s="2">
        <v>104.77079999999999</v>
      </c>
      <c r="L21" s="3">
        <v>-8.0500000000000007</v>
      </c>
      <c r="N21" s="1">
        <v>0.4</v>
      </c>
      <c r="O21" s="1">
        <v>0.1</v>
      </c>
      <c r="P21" s="1">
        <v>-0.22500000000000001</v>
      </c>
      <c r="R21" s="3">
        <v>5.49863544E-3</v>
      </c>
      <c r="S21" s="3">
        <v>1.374658831E-2</v>
      </c>
      <c r="T21" s="3">
        <v>-0.13066749717000001</v>
      </c>
    </row>
    <row r="22" spans="1:26" x14ac:dyDescent="0.25">
      <c r="A22" t="s">
        <v>83</v>
      </c>
      <c r="B22" t="s">
        <v>9</v>
      </c>
      <c r="D22" s="2">
        <v>308.89909999999998</v>
      </c>
      <c r="E22" s="2"/>
      <c r="F22" s="2"/>
      <c r="G22" s="2">
        <v>78.897970000000001</v>
      </c>
      <c r="H22" s="2"/>
      <c r="I22" s="2"/>
      <c r="J22" s="2"/>
      <c r="K22" s="2">
        <v>104.77079999999999</v>
      </c>
      <c r="L22" s="3">
        <v>-8.0500000000000007</v>
      </c>
      <c r="N22" s="1">
        <v>0.3</v>
      </c>
      <c r="O22" s="1">
        <v>-0.1</v>
      </c>
      <c r="P22" s="1">
        <v>-0.5</v>
      </c>
      <c r="R22" s="3">
        <v>-1.432394746E-2</v>
      </c>
      <c r="S22" s="3">
        <v>3.3422539940000003E-2</v>
      </c>
      <c r="T22" s="3">
        <v>-0.11200070193</v>
      </c>
    </row>
    <row r="23" spans="1:26" x14ac:dyDescent="0.25">
      <c r="A23" t="s">
        <v>84</v>
      </c>
      <c r="B23" t="s">
        <v>10</v>
      </c>
      <c r="D23" s="2">
        <v>310.14375000000001</v>
      </c>
      <c r="E23" s="2"/>
      <c r="F23" s="2"/>
      <c r="G23" s="2">
        <v>78.721919999999997</v>
      </c>
      <c r="H23" s="2"/>
      <c r="I23" s="2"/>
      <c r="J23" s="2"/>
      <c r="K23" s="2">
        <v>104.77079999999999</v>
      </c>
      <c r="L23" s="3">
        <v>-8.0500000000000007</v>
      </c>
      <c r="N23" s="1">
        <v>-0.3</v>
      </c>
      <c r="O23" s="1">
        <v>-0.1</v>
      </c>
      <c r="P23" s="1">
        <v>0.45</v>
      </c>
      <c r="R23" s="3">
        <v>-9.3850588999999998E-3</v>
      </c>
      <c r="S23" s="3">
        <v>-2.346264583E-2</v>
      </c>
      <c r="T23" s="3">
        <v>0.11200069226999999</v>
      </c>
    </row>
    <row r="24" spans="1:26" x14ac:dyDescent="0.25">
      <c r="A24" t="s">
        <v>85</v>
      </c>
      <c r="B24" t="s">
        <v>11</v>
      </c>
      <c r="D24" s="2">
        <v>311.56473</v>
      </c>
      <c r="E24" s="2"/>
      <c r="F24" s="2"/>
      <c r="G24" s="2">
        <v>78.526039999999995</v>
      </c>
      <c r="H24" s="2"/>
      <c r="I24" s="2"/>
      <c r="J24" s="2"/>
      <c r="K24" s="2">
        <v>104.77079999999999</v>
      </c>
      <c r="L24" s="3">
        <v>-8.0500000000000007</v>
      </c>
      <c r="N24" s="1">
        <v>-0.2</v>
      </c>
      <c r="O24" s="1">
        <v>0.1</v>
      </c>
      <c r="P24" s="1">
        <v>0.125</v>
      </c>
      <c r="R24" s="3">
        <v>6.4377282999999999E-3</v>
      </c>
      <c r="S24" s="3">
        <v>-1.6094320299999999E-2</v>
      </c>
      <c r="T24" s="3">
        <v>1.8666769659999999E-2</v>
      </c>
    </row>
    <row r="25" spans="1:26" x14ac:dyDescent="0.25">
      <c r="A25" t="s">
        <v>44</v>
      </c>
      <c r="B25" t="s">
        <v>43</v>
      </c>
      <c r="D25" s="2">
        <v>306.52355999999997</v>
      </c>
      <c r="E25" s="2">
        <v>306.52447000000001</v>
      </c>
      <c r="F25" s="2">
        <f>(D25-E25)*1000</f>
        <v>-0.91000000003305104</v>
      </c>
      <c r="G25">
        <v>79.433229999999995</v>
      </c>
      <c r="K25" s="2">
        <v>104.7</v>
      </c>
      <c r="L25" s="3">
        <v>-8.0500000000000007</v>
      </c>
      <c r="N25" s="1">
        <v>-0.378</v>
      </c>
      <c r="O25" s="1">
        <v>-0.114</v>
      </c>
      <c r="P25" s="1">
        <v>-3.6999999999999998E-2</v>
      </c>
      <c r="R25" s="3">
        <v>7.3699999999999998E-3</v>
      </c>
      <c r="S25" s="3">
        <v>2.8600000000000001E-3</v>
      </c>
      <c r="T25" s="3">
        <v>-4.0099999999999997E-3</v>
      </c>
    </row>
    <row r="26" spans="1:26" x14ac:dyDescent="0.25">
      <c r="A26" t="s">
        <v>45</v>
      </c>
      <c r="D26" s="1">
        <v>374.27</v>
      </c>
      <c r="E26" s="1"/>
      <c r="F26" s="1"/>
      <c r="G26" s="7">
        <v>80.599999999999994</v>
      </c>
      <c r="H26" s="7"/>
      <c r="I26" s="7"/>
      <c r="J26" s="7"/>
      <c r="K26" s="7">
        <v>104.7</v>
      </c>
      <c r="L26" s="3">
        <v>0</v>
      </c>
      <c r="N26" s="1"/>
      <c r="O26" s="1">
        <v>0.71499999999999997</v>
      </c>
      <c r="P26" s="1">
        <v>0.47599999999999998</v>
      </c>
      <c r="R26" s="3"/>
      <c r="S26" s="3"/>
      <c r="T26" s="3"/>
    </row>
    <row r="27" spans="1:26" x14ac:dyDescent="0.25">
      <c r="A27" t="s">
        <v>54</v>
      </c>
      <c r="B27" t="s">
        <v>26</v>
      </c>
      <c r="D27" s="2">
        <v>374.48532999999998</v>
      </c>
      <c r="E27" s="2">
        <f>D55-23.749+0.1016</f>
        <v>374.48622</v>
      </c>
      <c r="F27" s="2">
        <f>(D27-E27)*1000</f>
        <v>-0.89000000002670276</v>
      </c>
      <c r="G27" s="2">
        <v>80.599999999999994</v>
      </c>
      <c r="H27" s="2"/>
      <c r="I27" s="2"/>
      <c r="J27" s="2"/>
      <c r="K27" s="2">
        <v>104.7</v>
      </c>
      <c r="L27" s="3">
        <v>0</v>
      </c>
      <c r="N27" s="1">
        <v>-0.2</v>
      </c>
      <c r="O27" s="1">
        <v>0</v>
      </c>
      <c r="P27" s="1">
        <v>-4.3999999999999997E-2</v>
      </c>
      <c r="R27" s="3">
        <v>-2.5799999999999998E-3</v>
      </c>
      <c r="S27" s="3">
        <v>1.49E-2</v>
      </c>
      <c r="T27" s="3">
        <v>6.8799999999999998E-3</v>
      </c>
    </row>
    <row r="28" spans="1:26" x14ac:dyDescent="0.25">
      <c r="A28" t="s">
        <v>55</v>
      </c>
      <c r="B28" t="s">
        <v>27</v>
      </c>
      <c r="D28" s="2">
        <v>380.37279999999998</v>
      </c>
      <c r="E28" s="2">
        <f>D55-18.01393+0.254</f>
        <v>380.37369000000001</v>
      </c>
      <c r="F28" s="2">
        <f>(D28-E28)*1000</f>
        <v>-0.89000000002670276</v>
      </c>
      <c r="G28" s="2">
        <v>80.599999999999994</v>
      </c>
      <c r="H28" s="2"/>
      <c r="I28" s="2"/>
      <c r="J28" s="2"/>
      <c r="K28" s="2">
        <v>104.7</v>
      </c>
      <c r="L28" s="3">
        <v>0</v>
      </c>
      <c r="N28" s="1">
        <v>-0.13600000000000001</v>
      </c>
      <c r="O28" s="1">
        <v>0.06</v>
      </c>
      <c r="P28" s="1">
        <v>4.8000000000000001E-2</v>
      </c>
      <c r="R28" s="3">
        <v>-2.0629999999999999E-2</v>
      </c>
      <c r="S28" s="3">
        <v>1.375E-2</v>
      </c>
      <c r="T28" s="3">
        <v>1.5469999999999999E-2</v>
      </c>
    </row>
    <row r="29" spans="1:26" x14ac:dyDescent="0.25">
      <c r="A29" t="s">
        <v>56</v>
      </c>
      <c r="B29" t="s">
        <v>28</v>
      </c>
      <c r="D29" s="2">
        <v>376.78402999999997</v>
      </c>
      <c r="E29" s="2"/>
      <c r="F29" s="2"/>
      <c r="G29" s="2">
        <v>80.599999999999994</v>
      </c>
      <c r="H29" s="2"/>
      <c r="I29" s="2"/>
      <c r="J29" s="2"/>
      <c r="K29" s="2">
        <v>104.7</v>
      </c>
      <c r="L29" s="3">
        <v>0</v>
      </c>
      <c r="N29" s="1">
        <v>-0.02</v>
      </c>
      <c r="O29" s="1">
        <v>0.11</v>
      </c>
      <c r="P29" s="1">
        <v>-8.9999999999999993E-3</v>
      </c>
      <c r="R29" s="3">
        <v>-8.5999999999999998E-4</v>
      </c>
      <c r="S29" s="3">
        <v>3.15E-3</v>
      </c>
      <c r="T29" s="3">
        <v>2.8649999999999998E-2</v>
      </c>
    </row>
    <row r="30" spans="1:26" x14ac:dyDescent="0.25">
      <c r="A30" s="4" t="s">
        <v>57</v>
      </c>
      <c r="B30" t="s">
        <v>29</v>
      </c>
      <c r="D30" s="2">
        <v>381.13911000000002</v>
      </c>
      <c r="E30" s="2"/>
      <c r="F30" s="2"/>
      <c r="G30" s="2">
        <v>80.599999999999994</v>
      </c>
      <c r="H30" s="2"/>
      <c r="I30" s="2"/>
      <c r="J30" s="2"/>
      <c r="K30" s="2">
        <v>104.7</v>
      </c>
      <c r="L30" s="3">
        <v>0</v>
      </c>
      <c r="N30" s="1">
        <v>0.22600000000000001</v>
      </c>
      <c r="O30" s="1">
        <v>0.01</v>
      </c>
      <c r="P30" s="1">
        <v>3.2000000000000001E-2</v>
      </c>
      <c r="R30" s="3">
        <v>-7.7299999999999999E-3</v>
      </c>
      <c r="S30" s="3">
        <v>2.034E-2</v>
      </c>
      <c r="T30" s="3">
        <v>-5.4400000000000004E-3</v>
      </c>
    </row>
    <row r="31" spans="1:26" x14ac:dyDescent="0.25">
      <c r="A31" t="s">
        <v>58</v>
      </c>
      <c r="B31" t="s">
        <v>23</v>
      </c>
      <c r="D31" s="2">
        <v>385.23079999999999</v>
      </c>
      <c r="E31" s="2">
        <f>D55-12.9027</f>
        <v>385.23092000000003</v>
      </c>
      <c r="F31" s="2">
        <f>(D31-E31)*1000</f>
        <v>-0.12000000003808964</v>
      </c>
      <c r="G31" s="2">
        <v>80.599999999999994</v>
      </c>
      <c r="H31" s="2"/>
      <c r="I31" s="2"/>
      <c r="J31" s="2"/>
      <c r="K31" s="2">
        <v>104.7</v>
      </c>
      <c r="L31" s="3">
        <v>0</v>
      </c>
      <c r="N31" s="1">
        <v>-7.0000000000000007E-2</v>
      </c>
      <c r="O31" s="1">
        <v>0.04</v>
      </c>
      <c r="P31" s="1">
        <v>-2.4E-2</v>
      </c>
      <c r="R31" s="3">
        <v>-1.261E-2</v>
      </c>
      <c r="S31" s="3">
        <v>-2.2630000000000001E-2</v>
      </c>
      <c r="T31" s="3">
        <v>7.45E-3</v>
      </c>
      <c r="V31">
        <v>5270</v>
      </c>
      <c r="W31">
        <v>10002</v>
      </c>
      <c r="X31">
        <v>16845</v>
      </c>
      <c r="Y31">
        <v>20638</v>
      </c>
      <c r="Z31">
        <v>24431</v>
      </c>
    </row>
    <row r="32" spans="1:26" x14ac:dyDescent="0.25">
      <c r="A32" t="s">
        <v>59</v>
      </c>
      <c r="B32" t="s">
        <v>22</v>
      </c>
      <c r="D32" s="2">
        <v>386.76163000000003</v>
      </c>
      <c r="E32" s="2">
        <f>D55-11.37217</f>
        <v>386.76145000000002</v>
      </c>
      <c r="F32" s="2">
        <f>(D32-E32)*1000</f>
        <v>0.18000000000029104</v>
      </c>
      <c r="G32" s="2">
        <v>80.599999999999994</v>
      </c>
      <c r="H32" s="2"/>
      <c r="I32" s="2"/>
      <c r="J32" s="2"/>
      <c r="K32" s="2">
        <v>104.7</v>
      </c>
      <c r="L32" s="3">
        <v>0</v>
      </c>
      <c r="N32" s="1">
        <v>5.61</v>
      </c>
      <c r="O32" s="1">
        <v>-0.04</v>
      </c>
      <c r="P32" s="1">
        <v>-8.6999999999999994E-2</v>
      </c>
      <c r="R32" s="3">
        <v>-1.15E-3</v>
      </c>
      <c r="S32" s="3">
        <v>8.5900000000000004E-3</v>
      </c>
      <c r="T32" s="3">
        <v>5.6999999999999998E-4</v>
      </c>
    </row>
    <row r="33" spans="1:22" x14ac:dyDescent="0.25">
      <c r="A33" t="s">
        <v>60</v>
      </c>
      <c r="B33" t="s">
        <v>20</v>
      </c>
      <c r="D33" s="2">
        <v>389.64107999999999</v>
      </c>
      <c r="E33" s="2">
        <f>D55-8.492722</f>
        <v>389.64089799999999</v>
      </c>
      <c r="F33" s="2">
        <f>(D33-E33)*1000</f>
        <v>0.18199999999524152</v>
      </c>
      <c r="G33" s="2">
        <v>80.238079999999997</v>
      </c>
      <c r="H33" s="2">
        <f>80.6-0.235</f>
        <v>80.364999999999995</v>
      </c>
      <c r="I33" s="2">
        <f>80.6-0.235</f>
        <v>80.364999999999995</v>
      </c>
      <c r="J33" s="2">
        <f>(G33-I33)*1000</f>
        <v>-126.91999999999837</v>
      </c>
      <c r="K33" s="2">
        <v>104.7</v>
      </c>
      <c r="L33" s="3">
        <v>-4.7</v>
      </c>
      <c r="N33" s="1">
        <v>46.734999999999999</v>
      </c>
      <c r="O33" s="1">
        <v>0.51100000000000001</v>
      </c>
      <c r="P33" s="1">
        <v>-0.46800000000000003</v>
      </c>
      <c r="R33" s="3">
        <v>4.0419999999999998E-2</v>
      </c>
      <c r="S33" s="3">
        <v>8.0500000000000002E-2</v>
      </c>
      <c r="T33" s="3">
        <v>-0.15642</v>
      </c>
    </row>
    <row r="34" spans="1:22" x14ac:dyDescent="0.25">
      <c r="A34" t="s">
        <v>61</v>
      </c>
      <c r="B34" t="s">
        <v>21</v>
      </c>
      <c r="D34" s="2">
        <v>389.64107999999999</v>
      </c>
      <c r="E34" s="2">
        <f>D55-8.492722</f>
        <v>389.64089799999999</v>
      </c>
      <c r="F34" s="2">
        <f>(D34-E34)*1000</f>
        <v>0.18199999999524152</v>
      </c>
      <c r="G34" s="2">
        <v>80.961920000000006</v>
      </c>
      <c r="H34" s="2"/>
      <c r="I34" s="2"/>
      <c r="J34" s="2"/>
      <c r="K34" s="2">
        <v>104.7</v>
      </c>
      <c r="L34" s="3">
        <v>4.7</v>
      </c>
      <c r="N34" s="1">
        <v>46.072000000000003</v>
      </c>
      <c r="O34" s="1">
        <v>-1.7410000000000001</v>
      </c>
      <c r="P34" s="1">
        <v>-1.1870000000000001</v>
      </c>
      <c r="R34" s="3">
        <v>-0.12923000000000001</v>
      </c>
      <c r="S34" s="3">
        <v>-0.13464999999999999</v>
      </c>
      <c r="T34" s="3">
        <v>3.0939999999999999E-2</v>
      </c>
    </row>
    <row r="35" spans="1:22" x14ac:dyDescent="0.25">
      <c r="A35" s="4" t="s">
        <v>62</v>
      </c>
      <c r="B35" s="2">
        <f>D34+0.37538</f>
        <v>390.01646</v>
      </c>
      <c r="D35" s="3">
        <v>387.22483999999997</v>
      </c>
      <c r="E35" s="2">
        <f>E34+0.37538</f>
        <v>390.016278</v>
      </c>
      <c r="F35" s="2">
        <f>(B35-E35)*1000</f>
        <v>0.18199999999524152</v>
      </c>
      <c r="G35" s="2">
        <v>80.599999999999994</v>
      </c>
      <c r="H35" s="2"/>
      <c r="I35" s="2">
        <f>G35-0.266</f>
        <v>80.333999999999989</v>
      </c>
      <c r="J35" s="2">
        <f>(G35-I35)*1000</f>
        <v>266.00000000000534</v>
      </c>
      <c r="K35" s="2">
        <v>104.7</v>
      </c>
      <c r="L35" s="3">
        <v>-4.7</v>
      </c>
      <c r="N35" s="4">
        <v>2852.51</v>
      </c>
      <c r="O35" s="4">
        <v>-265.69</v>
      </c>
      <c r="P35" s="4">
        <v>-0.32</v>
      </c>
      <c r="R35" s="3">
        <v>-6.0699999999999997E-2</v>
      </c>
      <c r="S35" s="3"/>
      <c r="T35" s="3"/>
    </row>
    <row r="36" spans="1:22" x14ac:dyDescent="0.25">
      <c r="A36" s="4" t="s">
        <v>63</v>
      </c>
      <c r="B36" s="2">
        <f>B35</f>
        <v>390.01646</v>
      </c>
      <c r="D36" s="3">
        <v>387.22483999999997</v>
      </c>
      <c r="E36" s="2">
        <f>E35</f>
        <v>390.016278</v>
      </c>
      <c r="F36" s="2">
        <f>(B36-E36)*1000</f>
        <v>0.18199999999524152</v>
      </c>
      <c r="G36" s="2">
        <v>80.599999999999994</v>
      </c>
      <c r="H36" s="2"/>
      <c r="I36" s="2">
        <f>G36+0.266</f>
        <v>80.866</v>
      </c>
      <c r="J36" s="2">
        <f>(G36-I36)*1000</f>
        <v>-266.00000000000534</v>
      </c>
      <c r="K36" s="2">
        <v>104.7</v>
      </c>
      <c r="L36" s="3">
        <v>4.7</v>
      </c>
      <c r="N36" s="4">
        <v>2852.05</v>
      </c>
      <c r="O36" s="4">
        <v>264.99</v>
      </c>
      <c r="P36" s="4">
        <v>0.08</v>
      </c>
      <c r="R36" s="3">
        <v>0.25280000000000002</v>
      </c>
      <c r="S36" s="3"/>
      <c r="T36" s="3"/>
    </row>
    <row r="37" spans="1:22" x14ac:dyDescent="0.25">
      <c r="A37" t="s">
        <v>64</v>
      </c>
      <c r="D37" s="1">
        <v>395.85</v>
      </c>
      <c r="E37" s="1"/>
      <c r="F37" s="1"/>
      <c r="G37" s="2">
        <v>80.599999999999994</v>
      </c>
      <c r="H37" s="2"/>
      <c r="I37" s="2"/>
      <c r="J37" s="2"/>
      <c r="K37" s="2">
        <v>104.7</v>
      </c>
      <c r="L37" s="3">
        <v>0</v>
      </c>
      <c r="O37" s="1">
        <v>-0.19</v>
      </c>
      <c r="P37" s="1">
        <v>-0.05</v>
      </c>
    </row>
    <row r="38" spans="1:22" x14ac:dyDescent="0.25">
      <c r="A38" t="s">
        <v>65</v>
      </c>
      <c r="B38" t="s">
        <v>24</v>
      </c>
      <c r="D38" s="2">
        <v>400.02967999999998</v>
      </c>
      <c r="E38" s="2">
        <f>D55-0.508+2.398</f>
        <v>400.02362000000005</v>
      </c>
      <c r="F38" s="2">
        <f>(D38-E38)*1000</f>
        <v>6.0599999999340071</v>
      </c>
      <c r="G38" s="2">
        <v>80.599999999999994</v>
      </c>
      <c r="H38" s="2"/>
      <c r="I38" s="2"/>
      <c r="J38" s="2"/>
      <c r="K38" s="2">
        <v>104.7</v>
      </c>
      <c r="L38" s="3">
        <v>0</v>
      </c>
      <c r="N38" s="1">
        <v>-1.29</v>
      </c>
      <c r="O38" s="1">
        <v>0</v>
      </c>
      <c r="P38" s="1">
        <v>1.4E-2</v>
      </c>
      <c r="R38" s="3">
        <v>1.7760000000000001E-2</v>
      </c>
      <c r="S38" s="3">
        <v>1.289E-2</v>
      </c>
      <c r="T38" s="3">
        <v>2.0100000000000001E-3</v>
      </c>
    </row>
    <row r="39" spans="1:22" x14ac:dyDescent="0.25">
      <c r="A39" t="s">
        <v>66</v>
      </c>
      <c r="B39" t="s">
        <v>46</v>
      </c>
      <c r="D39" s="2">
        <v>400.25972999999999</v>
      </c>
      <c r="E39" s="2">
        <f>D55+0.17+1.95</f>
        <v>400.25362000000001</v>
      </c>
      <c r="F39" s="2">
        <f>(D39-E39)*1000</f>
        <v>6.1099999999782995</v>
      </c>
      <c r="G39" s="2">
        <v>80.599999999999994</v>
      </c>
      <c r="H39" s="2"/>
      <c r="I39" s="2"/>
      <c r="J39" s="2"/>
      <c r="K39" s="2">
        <v>104.7</v>
      </c>
      <c r="L39" s="3">
        <v>0</v>
      </c>
      <c r="N39">
        <v>-3.23</v>
      </c>
      <c r="O39">
        <v>1.03</v>
      </c>
      <c r="P39">
        <v>-0.98</v>
      </c>
      <c r="R39" s="3">
        <v>1.6330000000000001E-2</v>
      </c>
      <c r="S39" s="3">
        <v>4.24E-2</v>
      </c>
      <c r="T39" s="3">
        <v>4.5799999999999999E-3</v>
      </c>
    </row>
    <row r="40" spans="1:22" x14ac:dyDescent="0.25">
      <c r="A40" t="s">
        <v>67</v>
      </c>
      <c r="B40" t="s">
        <v>18</v>
      </c>
      <c r="D40" s="2">
        <v>398.78379999999999</v>
      </c>
      <c r="E40" s="2">
        <f>D55+0.65</f>
        <v>398.78361999999998</v>
      </c>
      <c r="F40" s="2">
        <f>(D40-E40)*1000</f>
        <v>0.18000000000029104</v>
      </c>
      <c r="G40" s="2">
        <v>80.599999999999994</v>
      </c>
      <c r="H40" s="2"/>
      <c r="I40" s="2"/>
      <c r="J40" s="2"/>
      <c r="K40" s="2">
        <v>104.7</v>
      </c>
      <c r="L40" s="3">
        <v>0</v>
      </c>
      <c r="N40" s="1">
        <v>0.19</v>
      </c>
      <c r="O40" s="1">
        <v>3.59</v>
      </c>
      <c r="P40" s="1">
        <v>1.012</v>
      </c>
      <c r="R40" s="3">
        <v>5.4140000000000001E-2</v>
      </c>
      <c r="S40" s="3">
        <v>-2.6069999999999999E-2</v>
      </c>
      <c r="T40" s="3">
        <v>-1.8982699999999999</v>
      </c>
    </row>
    <row r="41" spans="1:22" x14ac:dyDescent="0.25">
      <c r="A41" t="s">
        <v>86</v>
      </c>
      <c r="B41" t="s">
        <v>19</v>
      </c>
      <c r="C41" s="2" t="s">
        <v>47</v>
      </c>
      <c r="D41" s="2">
        <v>398.78982999999999</v>
      </c>
      <c r="E41" s="2">
        <f>D55+0.65-0.34986</f>
        <v>398.43376000000001</v>
      </c>
      <c r="F41" s="2">
        <f>(D41-E41)*1000</f>
        <v>356.06999999998834</v>
      </c>
      <c r="G41" s="2">
        <v>80.599999999999994</v>
      </c>
      <c r="H41" s="2"/>
      <c r="I41" s="2"/>
      <c r="J41" s="2"/>
      <c r="K41" s="2">
        <v>104.7</v>
      </c>
      <c r="L41" s="3">
        <v>0</v>
      </c>
      <c r="N41" s="1">
        <v>-344.24</v>
      </c>
      <c r="O41" s="1">
        <v>1.1499999999999999</v>
      </c>
      <c r="P41" s="1">
        <v>1.6120000000000001</v>
      </c>
      <c r="R41" s="3">
        <v>-8.5379999999999998E-2</v>
      </c>
      <c r="S41" s="3">
        <v>-0.61192999999999997</v>
      </c>
      <c r="T41" s="3">
        <v>0.75231999999999999</v>
      </c>
    </row>
    <row r="42" spans="1:22" s="4" customFormat="1" x14ac:dyDescent="0.25">
      <c r="A42" s="4" t="s">
        <v>96</v>
      </c>
      <c r="C42" s="2"/>
      <c r="D42" s="2">
        <f>D41+0.0873</f>
        <v>398.87713000000002</v>
      </c>
      <c r="E42" s="2"/>
      <c r="F42" s="2"/>
      <c r="G42" s="2">
        <v>80.599999999999994</v>
      </c>
      <c r="H42" s="2"/>
      <c r="I42" s="2"/>
      <c r="J42" s="2"/>
      <c r="K42" s="2">
        <v>104.7</v>
      </c>
      <c r="L42" s="3">
        <v>0</v>
      </c>
      <c r="N42" s="1">
        <v>-344.24</v>
      </c>
      <c r="O42" s="1">
        <f>O$41+SIN(R$41*3.1416/180)*87.3</f>
        <v>1.0199085912667021</v>
      </c>
      <c r="P42" s="1">
        <f>P$41+SIN(S$41*3.1416/180)*87.3</f>
        <v>0.67963467091822372</v>
      </c>
      <c r="R42" s="3"/>
      <c r="S42" s="3"/>
      <c r="T42" s="3">
        <f>T41</f>
        <v>0.75231999999999999</v>
      </c>
    </row>
    <row r="43" spans="1:22" s="4" customFormat="1" x14ac:dyDescent="0.25">
      <c r="A43" s="4" t="s">
        <v>97</v>
      </c>
      <c r="C43" s="2"/>
      <c r="D43" s="2">
        <f>D41+0.67419</f>
        <v>399.46402</v>
      </c>
      <c r="E43" s="2"/>
      <c r="F43" s="2"/>
      <c r="G43" s="2">
        <v>80.599999999999994</v>
      </c>
      <c r="H43" s="2"/>
      <c r="I43" s="2"/>
      <c r="J43" s="2"/>
      <c r="K43" s="2">
        <v>104.7</v>
      </c>
      <c r="L43" s="3">
        <v>0</v>
      </c>
      <c r="N43" s="1">
        <v>-344.24</v>
      </c>
      <c r="O43" s="1">
        <f>O$41+SIN(R$41*3.1416/180)*674.1922</f>
        <v>0.1453423475944875</v>
      </c>
      <c r="P43" s="1">
        <f>P$41+SIN(S$41*3.1416/180)*674.1922</f>
        <v>-5.5883829601072943</v>
      </c>
      <c r="R43" s="3"/>
      <c r="S43" s="3"/>
      <c r="T43" s="3">
        <f>T42</f>
        <v>0.75231999999999999</v>
      </c>
    </row>
    <row r="44" spans="1:22" s="4" customFormat="1" x14ac:dyDescent="0.25">
      <c r="A44" s="4" t="s">
        <v>124</v>
      </c>
      <c r="D44" s="16">
        <v>399.95573000000002</v>
      </c>
      <c r="E44" s="2">
        <f>D55+1.744+0.06879</f>
        <v>399.94641000000001</v>
      </c>
      <c r="F44" s="2">
        <f>(D44-E44)*1000</f>
        <v>9.3200000000024374</v>
      </c>
      <c r="G44" s="2">
        <v>80.599999999999994</v>
      </c>
      <c r="H44" s="2"/>
      <c r="I44" s="2"/>
      <c r="J44" s="2"/>
      <c r="K44" s="2">
        <v>104.7</v>
      </c>
      <c r="L44" s="3"/>
      <c r="N44" s="1">
        <v>5.41</v>
      </c>
      <c r="O44" s="1">
        <v>-0.9</v>
      </c>
      <c r="P44" s="1">
        <v>0.32900000000000001</v>
      </c>
      <c r="R44" s="3">
        <v>1.6E-2</v>
      </c>
      <c r="S44" s="3">
        <v>-4.9000000000000002E-2</v>
      </c>
      <c r="T44" s="3">
        <v>8.7999999999999995E-2</v>
      </c>
      <c r="V44" s="4">
        <v>144.26</v>
      </c>
    </row>
    <row r="45" spans="1:22" s="4" customFormat="1" ht="15.75" x14ac:dyDescent="0.25">
      <c r="A45" s="4" t="s">
        <v>125</v>
      </c>
      <c r="D45" s="16">
        <v>400.54144000000002</v>
      </c>
      <c r="E45" s="2"/>
      <c r="F45" s="2"/>
      <c r="G45" s="2">
        <v>80.599999999999994</v>
      </c>
      <c r="H45" s="2"/>
      <c r="I45" s="2"/>
      <c r="J45" s="2"/>
      <c r="K45" s="2">
        <v>104.7</v>
      </c>
      <c r="L45" s="3"/>
      <c r="N45" s="1">
        <v>5.4</v>
      </c>
      <c r="O45" s="1">
        <v>-0.69</v>
      </c>
      <c r="P45" s="1">
        <v>-5.8000000000000003E-2</v>
      </c>
      <c r="R45" s="3">
        <v>2.3E-2</v>
      </c>
      <c r="S45" s="3">
        <v>-3.5000000000000003E-2</v>
      </c>
      <c r="T45" s="3">
        <v>8.9999999999999993E-3</v>
      </c>
      <c r="V45" s="15">
        <v>144.91999999999999</v>
      </c>
    </row>
    <row r="46" spans="1:22" s="4" customFormat="1" x14ac:dyDescent="0.25">
      <c r="A46" s="4" t="s">
        <v>126</v>
      </c>
      <c r="D46" s="16">
        <v>401.12732999999997</v>
      </c>
      <c r="E46" s="2"/>
      <c r="F46" s="2"/>
      <c r="G46" s="2">
        <v>80.599999999999994</v>
      </c>
      <c r="H46" s="2"/>
      <c r="I46" s="2"/>
      <c r="J46" s="2"/>
      <c r="K46" s="2">
        <v>104.7</v>
      </c>
      <c r="L46" s="3"/>
      <c r="N46" s="1">
        <v>5.4</v>
      </c>
      <c r="O46" s="1">
        <v>0.01</v>
      </c>
      <c r="P46" s="1">
        <v>-0.32500000000000001</v>
      </c>
      <c r="R46" s="3">
        <v>2.9000000000000001E-2</v>
      </c>
      <c r="S46" s="3">
        <v>-6.8000000000000005E-2</v>
      </c>
      <c r="T46" s="3">
        <v>0.03</v>
      </c>
      <c r="V46" s="4">
        <v>144.46</v>
      </c>
    </row>
    <row r="47" spans="1:22" s="4" customFormat="1" x14ac:dyDescent="0.25">
      <c r="A47" s="4" t="s">
        <v>127</v>
      </c>
      <c r="D47" s="16">
        <v>401.51407999999998</v>
      </c>
      <c r="E47" s="2">
        <f>D55+3.4408-0.06879</f>
        <v>401.50563000000005</v>
      </c>
      <c r="F47" s="2">
        <f>(D47-E47)*1000</f>
        <v>8.4499999999252395</v>
      </c>
      <c r="G47" s="2">
        <v>80.599999999999994</v>
      </c>
      <c r="H47" s="2"/>
      <c r="I47" s="2"/>
      <c r="J47" s="2"/>
      <c r="K47" s="2">
        <v>104.7</v>
      </c>
      <c r="L47" s="3"/>
      <c r="N47" s="1">
        <v>5.4</v>
      </c>
      <c r="O47" s="1">
        <v>0.18</v>
      </c>
      <c r="P47" s="1">
        <v>0.23100000000000001</v>
      </c>
      <c r="R47" s="3">
        <v>-2E-3</v>
      </c>
      <c r="S47" s="3">
        <v>0.11</v>
      </c>
      <c r="T47" s="3">
        <v>7.0000000000000001E-3</v>
      </c>
      <c r="V47" s="4">
        <v>144.44</v>
      </c>
    </row>
    <row r="48" spans="1:22" x14ac:dyDescent="0.25">
      <c r="A48" t="s">
        <v>68</v>
      </c>
      <c r="B48" t="s">
        <v>17</v>
      </c>
      <c r="D48" s="2">
        <v>399.06002999999998</v>
      </c>
      <c r="E48" s="2">
        <f>D55+0.17+0.75</f>
        <v>399.05362000000002</v>
      </c>
      <c r="F48" s="2">
        <f>(D48-E48)*1000</f>
        <v>6.4099999999598367</v>
      </c>
      <c r="G48" s="2">
        <v>80.599999999999994</v>
      </c>
      <c r="H48" s="2"/>
      <c r="I48" s="2"/>
      <c r="J48" s="2"/>
      <c r="K48" s="2">
        <v>104.7</v>
      </c>
      <c r="L48" s="3">
        <v>0</v>
      </c>
      <c r="N48" s="1">
        <v>5.44</v>
      </c>
      <c r="O48" s="1">
        <v>7.0000000000000007E-2</v>
      </c>
      <c r="P48" s="1">
        <v>-6.5000000000000002E-2</v>
      </c>
      <c r="R48" s="3">
        <v>2.8600000000000001E-3</v>
      </c>
      <c r="S48" s="3">
        <v>-2.3199999999999998E-2</v>
      </c>
      <c r="T48" s="3">
        <v>4.7840000000000001E-2</v>
      </c>
    </row>
    <row r="49" spans="1:23" x14ac:dyDescent="0.25">
      <c r="A49" t="s">
        <v>69</v>
      </c>
      <c r="B49" t="s">
        <v>15</v>
      </c>
      <c r="D49" s="2">
        <v>404.38679999999999</v>
      </c>
      <c r="E49" s="2">
        <f>D55+6.253</f>
        <v>404.38661999999999</v>
      </c>
      <c r="F49" s="2">
        <f>(D49-E49)*1000</f>
        <v>0.18000000000029104</v>
      </c>
      <c r="G49" s="2">
        <v>80.599999999999994</v>
      </c>
      <c r="H49" s="2"/>
      <c r="I49" s="2"/>
      <c r="J49" s="2"/>
      <c r="K49" s="2">
        <v>104.7</v>
      </c>
      <c r="L49" s="3">
        <v>0</v>
      </c>
      <c r="N49" s="1">
        <v>0.88</v>
      </c>
      <c r="O49" s="1">
        <v>5.29</v>
      </c>
      <c r="P49" s="1">
        <v>-2.1000000000000001E-2</v>
      </c>
      <c r="R49" s="3">
        <v>-7.0190000000000002E-2</v>
      </c>
      <c r="S49" s="3">
        <v>4.1829999999999999E-2</v>
      </c>
      <c r="T49" s="3">
        <v>-1.49E-2</v>
      </c>
    </row>
    <row r="50" spans="1:23" x14ac:dyDescent="0.25">
      <c r="A50" t="s">
        <v>70</v>
      </c>
      <c r="B50" t="s">
        <v>16</v>
      </c>
      <c r="D50" s="2">
        <v>404.18979999999999</v>
      </c>
      <c r="E50" s="2">
        <f>D55+6.056</f>
        <v>404.18961999999999</v>
      </c>
      <c r="F50" s="2">
        <f>(D50-E50)*1000</f>
        <v>0.18000000000029104</v>
      </c>
      <c r="G50" s="2">
        <v>80.599999999999994</v>
      </c>
      <c r="H50" s="2"/>
      <c r="I50" s="2"/>
      <c r="J50" s="2"/>
      <c r="K50" s="2">
        <v>104.7</v>
      </c>
      <c r="L50" s="3">
        <v>0</v>
      </c>
      <c r="N50" s="1">
        <v>6.75</v>
      </c>
      <c r="O50" s="1">
        <v>3.08</v>
      </c>
      <c r="P50" s="1">
        <v>2.2509999999999999</v>
      </c>
      <c r="R50" s="3">
        <v>4.6120000000000001E-2</v>
      </c>
      <c r="S50" s="3">
        <v>4.2689999999999999E-2</v>
      </c>
      <c r="T50" s="3">
        <v>-0.18134</v>
      </c>
    </row>
    <row r="51" spans="1:23" x14ac:dyDescent="0.25">
      <c r="A51" t="s">
        <v>71</v>
      </c>
      <c r="D51">
        <v>415.09</v>
      </c>
      <c r="G51" s="2">
        <v>80.599999999999994</v>
      </c>
      <c r="H51" s="2"/>
      <c r="I51" s="2"/>
      <c r="J51" s="2"/>
      <c r="K51" s="2">
        <v>104.7</v>
      </c>
      <c r="L51" s="3">
        <v>0</v>
      </c>
      <c r="N51" t="s">
        <v>47</v>
      </c>
      <c r="O51">
        <v>-0.03</v>
      </c>
      <c r="P51">
        <v>0.27</v>
      </c>
    </row>
    <row r="52" spans="1:23" x14ac:dyDescent="0.25">
      <c r="V52">
        <f>AVERAGE(V44:V47)</f>
        <v>144.51999999999998</v>
      </c>
      <c r="W52" t="s">
        <v>146</v>
      </c>
    </row>
    <row r="53" spans="1:23" ht="15.75" x14ac:dyDescent="0.25">
      <c r="B53" s="4"/>
      <c r="C53" s="4"/>
      <c r="D53" s="11" t="s">
        <v>87</v>
      </c>
      <c r="E53" s="11"/>
      <c r="F53" s="11"/>
      <c r="G53" s="4"/>
      <c r="K53" s="4"/>
      <c r="L53" s="4"/>
      <c r="M53" s="4"/>
      <c r="N53" s="4"/>
      <c r="O53" s="4"/>
      <c r="P53" s="4"/>
      <c r="Q53" s="4"/>
      <c r="R53" s="4"/>
      <c r="V53">
        <v>137.58000000000001</v>
      </c>
      <c r="W53" t="s">
        <v>147</v>
      </c>
    </row>
    <row r="54" spans="1:23" x14ac:dyDescent="0.25">
      <c r="B54" s="4"/>
      <c r="C54" s="4"/>
      <c r="D54" s="4"/>
      <c r="G54" s="4"/>
      <c r="K54" s="4"/>
      <c r="L54" s="4"/>
      <c r="M54" s="4"/>
      <c r="N54" s="4"/>
      <c r="O54" s="4"/>
      <c r="P54" s="4"/>
      <c r="Q54" s="4"/>
      <c r="R54" s="4"/>
      <c r="V54">
        <f>V52-V53</f>
        <v>6.9399999999999693</v>
      </c>
      <c r="W54" t="s">
        <v>148</v>
      </c>
    </row>
    <row r="55" spans="1:23" x14ac:dyDescent="0.25">
      <c r="B55" s="4"/>
      <c r="C55" s="4"/>
      <c r="D55" s="4">
        <v>398.13362000000001</v>
      </c>
      <c r="G55" s="4">
        <v>80.599999999999994</v>
      </c>
      <c r="K55" s="4">
        <v>104.7</v>
      </c>
      <c r="L55" s="4"/>
      <c r="M55" s="4"/>
      <c r="N55" s="4"/>
      <c r="O55" s="4"/>
      <c r="P55" s="4"/>
      <c r="Q55" s="4"/>
      <c r="R55" s="4"/>
      <c r="S55" s="4"/>
    </row>
    <row r="56" spans="1:23" x14ac:dyDescent="0.25">
      <c r="B56" s="4"/>
      <c r="C56" s="4"/>
      <c r="D56" s="4"/>
      <c r="G56" s="4"/>
      <c r="K56" s="4"/>
      <c r="L56" s="4"/>
      <c r="M56" s="4"/>
      <c r="N56" s="4"/>
      <c r="O56" s="4"/>
      <c r="P56" s="4"/>
      <c r="Q56" s="4"/>
      <c r="R56" s="4"/>
      <c r="S56" s="4"/>
    </row>
    <row r="57" spans="1:23" x14ac:dyDescent="0.25">
      <c r="B57" s="4"/>
      <c r="C57" s="4"/>
      <c r="D57" s="4"/>
      <c r="G57" s="4"/>
      <c r="K57" s="4"/>
      <c r="L57" s="4"/>
      <c r="M57" s="4"/>
      <c r="N57" s="4"/>
      <c r="O57" s="4"/>
      <c r="P57" s="4"/>
      <c r="Q57" s="4"/>
      <c r="R57" s="4"/>
      <c r="S57" s="4"/>
    </row>
    <row r="58" spans="1:23" x14ac:dyDescent="0.25">
      <c r="B58" s="4"/>
      <c r="C58" s="4"/>
      <c r="D58" s="4"/>
      <c r="G58" s="4"/>
      <c r="K58" s="4"/>
      <c r="L58" s="4"/>
      <c r="M58" s="4"/>
      <c r="N58" s="4"/>
      <c r="O58" s="4"/>
      <c r="P58" s="4"/>
      <c r="Q58" s="4"/>
      <c r="R58" s="4"/>
      <c r="S58" s="4"/>
    </row>
    <row r="59" spans="1:23" x14ac:dyDescent="0.25">
      <c r="B59" s="4"/>
      <c r="C59" s="4"/>
      <c r="D59" s="4"/>
      <c r="G59" s="4"/>
      <c r="K59" s="4"/>
      <c r="L59" s="4"/>
      <c r="M59" s="4"/>
      <c r="N59" s="4"/>
      <c r="O59" s="4"/>
      <c r="P59" s="4"/>
      <c r="Q59" s="4"/>
      <c r="R59" s="4"/>
      <c r="S59" s="4"/>
    </row>
    <row r="60" spans="1:23" x14ac:dyDescent="0.25">
      <c r="B60" s="4"/>
      <c r="C60" s="4"/>
      <c r="D60" s="4"/>
      <c r="G60" s="4"/>
      <c r="K60" s="4"/>
      <c r="L60" s="4"/>
      <c r="M60" s="4"/>
      <c r="N60" s="4"/>
      <c r="O60" s="4"/>
      <c r="P60" s="4"/>
      <c r="Q60" s="4"/>
      <c r="R60" s="4"/>
      <c r="S60" s="4"/>
    </row>
    <row r="61" spans="1:23" x14ac:dyDescent="0.25">
      <c r="B61" s="4"/>
      <c r="C61" s="4"/>
      <c r="D61" s="4"/>
      <c r="G61" s="4"/>
      <c r="K61" s="4"/>
      <c r="L61" s="4"/>
      <c r="M61" s="4"/>
      <c r="N61" s="4"/>
      <c r="O61" s="4"/>
      <c r="P61" s="4"/>
      <c r="Q61" s="4"/>
      <c r="R61" s="4"/>
      <c r="S61" s="4"/>
    </row>
    <row r="62" spans="1:23" x14ac:dyDescent="0.25">
      <c r="B62" s="4"/>
      <c r="C62" s="4"/>
      <c r="D62" s="4"/>
      <c r="G62" s="4"/>
      <c r="K62" s="4"/>
      <c r="L62" s="4"/>
      <c r="M62" s="4"/>
      <c r="N62" s="4"/>
      <c r="O62" s="4"/>
      <c r="P62" s="4"/>
      <c r="Q62" s="4"/>
      <c r="R62" s="4"/>
      <c r="S62" s="4"/>
    </row>
    <row r="63" spans="1:23" x14ac:dyDescent="0.25">
      <c r="B63" s="4"/>
      <c r="C63" s="4"/>
      <c r="D63" s="4"/>
      <c r="G63" s="4"/>
      <c r="K63" s="4"/>
      <c r="L63" s="4"/>
      <c r="M63" s="4"/>
      <c r="N63" s="4"/>
      <c r="O63" s="4"/>
      <c r="P63" s="4"/>
      <c r="Q63" s="4"/>
      <c r="R63" s="4"/>
      <c r="S63" s="4"/>
    </row>
    <row r="64" spans="1:23" x14ac:dyDescent="0.25">
      <c r="B64" s="4"/>
      <c r="C64" s="4"/>
      <c r="D64" s="4"/>
      <c r="G64" s="4"/>
      <c r="K64" s="4"/>
      <c r="L64" s="4"/>
      <c r="M64" s="4"/>
      <c r="N64" s="4"/>
      <c r="O64" s="4"/>
      <c r="P64" s="4"/>
      <c r="Q64" s="4"/>
      <c r="R64" s="4"/>
      <c r="S64" s="4"/>
    </row>
    <row r="65" spans="2:19" x14ac:dyDescent="0.25">
      <c r="S65" s="4"/>
    </row>
    <row r="66" spans="2:19" x14ac:dyDescent="0.25">
      <c r="B66" s="4"/>
      <c r="C66" s="4"/>
      <c r="D66" s="4"/>
      <c r="G66" s="4"/>
      <c r="K66" s="4"/>
      <c r="L66" s="4"/>
      <c r="M66" s="4"/>
      <c r="N66" s="4"/>
      <c r="O66" s="4"/>
      <c r="P66" s="4"/>
      <c r="Q66" s="4"/>
      <c r="R66" s="4"/>
      <c r="S66" s="4"/>
    </row>
    <row r="67" spans="2:19" x14ac:dyDescent="0.25">
      <c r="B67" s="4"/>
      <c r="C67" s="4"/>
      <c r="D67" s="4"/>
      <c r="G67" s="4"/>
      <c r="K67" s="4"/>
      <c r="L67" s="4"/>
      <c r="M67" s="4"/>
      <c r="N67" s="4"/>
      <c r="O67" s="4"/>
      <c r="P67" s="4"/>
      <c r="Q67" s="4"/>
      <c r="R67" s="4"/>
      <c r="S67" s="4"/>
    </row>
    <row r="68" spans="2:19" x14ac:dyDescent="0.25">
      <c r="B68" s="4"/>
      <c r="C68" s="4"/>
      <c r="D68" s="4"/>
      <c r="G68" s="4"/>
      <c r="K68" s="4"/>
      <c r="L68" s="4"/>
      <c r="M68" s="4"/>
      <c r="N68" s="4"/>
      <c r="O68" s="4"/>
      <c r="Q68" s="4"/>
      <c r="S68" s="4"/>
    </row>
    <row r="69" spans="2:19" x14ac:dyDescent="0.25">
      <c r="B69" s="4"/>
      <c r="C69" s="4"/>
      <c r="D69" s="4"/>
      <c r="G69" s="4"/>
      <c r="K69" s="4"/>
      <c r="L69" s="4"/>
      <c r="M69" s="4"/>
      <c r="N69" s="4"/>
      <c r="O69" s="4"/>
      <c r="P69" s="4"/>
      <c r="Q69" s="4"/>
      <c r="R69" s="4"/>
      <c r="S69" s="4"/>
    </row>
    <row r="70" spans="2:19" x14ac:dyDescent="0.25">
      <c r="B70" s="4"/>
      <c r="C70" s="4"/>
      <c r="D70" s="4"/>
      <c r="G70" s="4"/>
      <c r="K70" s="4"/>
      <c r="L70" s="4"/>
      <c r="M70" s="4"/>
      <c r="N70" s="4"/>
      <c r="O70" s="4"/>
      <c r="Q70" s="4"/>
      <c r="S70" s="4"/>
    </row>
    <row r="71" spans="2:19" x14ac:dyDescent="0.25">
      <c r="B71" s="4"/>
      <c r="C71" s="4"/>
      <c r="D71" s="4"/>
      <c r="G71" s="4"/>
      <c r="K71" s="4"/>
      <c r="L71" s="4"/>
      <c r="M71" s="4"/>
      <c r="N71" s="4"/>
      <c r="O71" s="4"/>
      <c r="P71" s="4"/>
      <c r="Q71" s="4"/>
      <c r="R71" s="4"/>
      <c r="S71" s="4"/>
    </row>
    <row r="72" spans="2:19" x14ac:dyDescent="0.25">
      <c r="B72" s="4"/>
      <c r="C72" s="4"/>
      <c r="D72" s="4"/>
      <c r="G72" s="4"/>
      <c r="K72" s="4"/>
      <c r="L72" s="4"/>
      <c r="M72" s="4"/>
      <c r="N72" s="4"/>
      <c r="O72" s="4"/>
      <c r="P72" s="4"/>
      <c r="Q72" s="4"/>
      <c r="R72" s="4"/>
      <c r="S72" s="4"/>
    </row>
    <row r="73" spans="2:19" x14ac:dyDescent="0.25">
      <c r="B73" s="4"/>
      <c r="C73" s="4"/>
      <c r="D73" s="4"/>
      <c r="G73" s="4"/>
      <c r="K73" s="4"/>
      <c r="L73" s="4"/>
      <c r="M73" s="4"/>
      <c r="N73" s="4"/>
      <c r="O73" s="4"/>
      <c r="P73" s="4"/>
      <c r="Q73" s="4"/>
      <c r="R73" s="4"/>
      <c r="S73" s="4"/>
    </row>
    <row r="74" spans="2:19" x14ac:dyDescent="0.25">
      <c r="B74" s="4"/>
      <c r="C74" s="4"/>
      <c r="D74" s="4"/>
      <c r="G74" s="4"/>
      <c r="K74" s="4"/>
      <c r="L74" s="4"/>
      <c r="M74" s="4"/>
      <c r="N74" s="4"/>
      <c r="O74" s="4"/>
      <c r="P74" s="4"/>
      <c r="R74" s="4"/>
      <c r="S74" s="4"/>
    </row>
    <row r="75" spans="2:19" x14ac:dyDescent="0.25">
      <c r="B75" s="4"/>
      <c r="C75" s="4"/>
      <c r="D75" s="4"/>
      <c r="G75" s="4"/>
      <c r="K75" s="4"/>
      <c r="L75" s="4"/>
      <c r="M75" s="4"/>
      <c r="N75" s="4"/>
      <c r="O75" s="4"/>
      <c r="P75" s="4"/>
      <c r="Q75" s="4"/>
      <c r="R75" s="4"/>
      <c r="S75" s="4"/>
    </row>
    <row r="76" spans="2:19" x14ac:dyDescent="0.25">
      <c r="B76" s="4"/>
      <c r="C76" s="4"/>
      <c r="D76" s="4"/>
      <c r="G76" s="4"/>
      <c r="K76" s="4"/>
      <c r="L76" s="4"/>
      <c r="M76" s="4"/>
      <c r="N76" s="4"/>
      <c r="O76" s="4"/>
      <c r="P76" s="4"/>
      <c r="Q76" s="4"/>
      <c r="R76" s="4"/>
      <c r="S76" s="4"/>
    </row>
    <row r="77" spans="2:19" x14ac:dyDescent="0.25">
      <c r="B77" s="4"/>
      <c r="C77" s="4"/>
      <c r="D77" s="4"/>
      <c r="G77" s="4"/>
      <c r="K77" s="4"/>
      <c r="L77" s="4"/>
      <c r="M77" s="4"/>
      <c r="N77" s="4"/>
      <c r="O77" s="4"/>
      <c r="P77" s="4"/>
      <c r="R77" s="4"/>
      <c r="S77" s="4"/>
    </row>
    <row r="78" spans="2:19" x14ac:dyDescent="0.25">
      <c r="S78" s="4"/>
    </row>
    <row r="79" spans="2:19" x14ac:dyDescent="0.25">
      <c r="S79" s="4"/>
    </row>
    <row r="80" spans="2:19" x14ac:dyDescent="0.25">
      <c r="B80" s="4"/>
      <c r="C80" s="4"/>
      <c r="D80" s="4"/>
      <c r="G80" s="4"/>
      <c r="K80" s="4"/>
      <c r="L80" s="4"/>
      <c r="M80" s="4"/>
      <c r="N80" s="4"/>
      <c r="O80" s="4"/>
      <c r="P80" s="4"/>
      <c r="Q80" s="4"/>
      <c r="R80" s="4"/>
      <c r="S80" s="4"/>
    </row>
    <row r="81" spans="19:19" x14ac:dyDescent="0.25">
      <c r="S81" s="4"/>
    </row>
    <row r="82" spans="19:19" x14ac:dyDescent="0.25">
      <c r="S82" s="4"/>
    </row>
  </sheetData>
  <mergeCells count="3">
    <mergeCell ref="R10:T10"/>
    <mergeCell ref="V10:Z10"/>
    <mergeCell ref="A2:D5"/>
  </mergeCells>
  <pageMargins left="0.7" right="0.7" top="0.75" bottom="0.75" header="0.3" footer="0.3"/>
  <pageSetup paperSize="17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39"/>
  <sheetViews>
    <sheetView workbookViewId="0">
      <selection activeCell="A32" sqref="A32:XFD32"/>
    </sheetView>
  </sheetViews>
  <sheetFormatPr defaultRowHeight="15" x14ac:dyDescent="0.25"/>
  <sheetData>
    <row r="2" spans="1:7" x14ac:dyDescent="0.25">
      <c r="A2" s="12" t="s">
        <v>95</v>
      </c>
      <c r="B2" s="12"/>
      <c r="C2" s="12"/>
      <c r="D2" s="12"/>
      <c r="E2" s="13"/>
      <c r="F2" s="13"/>
      <c r="G2" s="13"/>
    </row>
    <row r="3" spans="1:7" x14ac:dyDescent="0.25">
      <c r="A3" s="12"/>
      <c r="B3" s="12"/>
      <c r="C3" s="12"/>
      <c r="D3" s="12"/>
      <c r="E3" s="13"/>
      <c r="F3" s="13"/>
      <c r="G3" s="13"/>
    </row>
    <row r="4" spans="1:7" x14ac:dyDescent="0.25">
      <c r="A4" s="12"/>
      <c r="B4" s="12"/>
      <c r="C4" s="12"/>
      <c r="D4" s="12"/>
      <c r="E4" s="13"/>
      <c r="F4" s="13"/>
      <c r="G4" s="13"/>
    </row>
    <row r="5" spans="1:7" x14ac:dyDescent="0.25">
      <c r="A5" s="13"/>
      <c r="B5" s="13"/>
      <c r="C5" s="13"/>
      <c r="D5" s="13"/>
      <c r="E5" s="13"/>
      <c r="F5" s="13"/>
      <c r="G5" s="13"/>
    </row>
    <row r="6" spans="1:7" x14ac:dyDescent="0.25">
      <c r="A6" s="13"/>
      <c r="B6" s="13"/>
      <c r="C6" s="13"/>
      <c r="D6" s="13"/>
      <c r="E6" s="13"/>
      <c r="F6" s="13"/>
      <c r="G6" s="13"/>
    </row>
    <row r="7" spans="1:7" x14ac:dyDescent="0.25">
      <c r="A7" s="13"/>
      <c r="B7" s="13"/>
      <c r="C7" s="13"/>
      <c r="D7" s="13"/>
      <c r="E7" s="13"/>
      <c r="F7" s="13"/>
      <c r="G7" s="13"/>
    </row>
    <row r="11" spans="1:7" x14ac:dyDescent="0.25">
      <c r="A11" s="4" t="s">
        <v>100</v>
      </c>
    </row>
    <row r="12" spans="1:7" x14ac:dyDescent="0.25">
      <c r="A12" s="4" t="s">
        <v>101</v>
      </c>
    </row>
    <row r="13" spans="1:7" x14ac:dyDescent="0.25">
      <c r="A13" s="4" t="s">
        <v>102</v>
      </c>
    </row>
    <row r="14" spans="1:7" x14ac:dyDescent="0.25">
      <c r="A14" s="4" t="s">
        <v>103</v>
      </c>
    </row>
    <row r="15" spans="1:7" x14ac:dyDescent="0.25">
      <c r="A15" s="4" t="s">
        <v>109</v>
      </c>
    </row>
    <row r="16" spans="1:7" x14ac:dyDescent="0.25">
      <c r="A16" s="4" t="s">
        <v>104</v>
      </c>
    </row>
    <row r="17" spans="1:1" x14ac:dyDescent="0.25">
      <c r="A17" s="4" t="s">
        <v>105</v>
      </c>
    </row>
    <row r="18" spans="1:1" x14ac:dyDescent="0.25">
      <c r="A18" s="4" t="s">
        <v>106</v>
      </c>
    </row>
    <row r="19" spans="1:1" x14ac:dyDescent="0.25">
      <c r="A19" s="4" t="s">
        <v>107</v>
      </c>
    </row>
    <row r="20" spans="1:1" x14ac:dyDescent="0.25">
      <c r="A20" s="4" t="s">
        <v>108</v>
      </c>
    </row>
    <row r="21" spans="1:1" x14ac:dyDescent="0.25">
      <c r="A21" s="4" t="s">
        <v>120</v>
      </c>
    </row>
    <row r="22" spans="1:1" x14ac:dyDescent="0.25">
      <c r="A22" s="4" t="s">
        <v>121</v>
      </c>
    </row>
    <row r="23" spans="1:1" x14ac:dyDescent="0.25">
      <c r="A23" s="4" t="s">
        <v>122</v>
      </c>
    </row>
    <row r="24" spans="1:1" x14ac:dyDescent="0.25">
      <c r="A24" s="4" t="s">
        <v>123</v>
      </c>
    </row>
    <row r="25" spans="1:1" x14ac:dyDescent="0.25">
      <c r="A25" s="4" t="s">
        <v>110</v>
      </c>
    </row>
    <row r="26" spans="1:1" x14ac:dyDescent="0.25">
      <c r="A26" s="4" t="s">
        <v>65</v>
      </c>
    </row>
    <row r="27" spans="1:1" x14ac:dyDescent="0.25">
      <c r="A27" s="4" t="s">
        <v>119</v>
      </c>
    </row>
    <row r="28" spans="1:1" x14ac:dyDescent="0.25">
      <c r="A28" s="4" t="s">
        <v>112</v>
      </c>
    </row>
    <row r="29" spans="1:1" x14ac:dyDescent="0.25">
      <c r="A29" s="4" t="s">
        <v>113</v>
      </c>
    </row>
    <row r="30" spans="1:1" x14ac:dyDescent="0.25">
      <c r="A30" s="4" t="s">
        <v>114</v>
      </c>
    </row>
    <row r="31" spans="1:1" x14ac:dyDescent="0.25">
      <c r="A31" s="4" t="s">
        <v>115</v>
      </c>
    </row>
    <row r="32" spans="1:1" s="4" customFormat="1" x14ac:dyDescent="0.25">
      <c r="A32" s="4" t="s">
        <v>149</v>
      </c>
    </row>
    <row r="33" spans="1:1" s="4" customFormat="1" x14ac:dyDescent="0.25">
      <c r="A33" s="4" t="s">
        <v>150</v>
      </c>
    </row>
    <row r="34" spans="1:1" s="4" customFormat="1" x14ac:dyDescent="0.25">
      <c r="A34" s="4" t="s">
        <v>151</v>
      </c>
    </row>
    <row r="35" spans="1:1" s="4" customFormat="1" x14ac:dyDescent="0.25">
      <c r="A35" s="4" t="s">
        <v>152</v>
      </c>
    </row>
    <row r="36" spans="1:1" x14ac:dyDescent="0.25">
      <c r="A36" s="4" t="s">
        <v>116</v>
      </c>
    </row>
    <row r="37" spans="1:1" x14ac:dyDescent="0.25">
      <c r="A37" s="4" t="s">
        <v>117</v>
      </c>
    </row>
    <row r="38" spans="1:1" x14ac:dyDescent="0.25">
      <c r="A38" s="4" t="s">
        <v>118</v>
      </c>
    </row>
    <row r="39" spans="1:1" x14ac:dyDescent="0.25">
      <c r="A39" s="4" t="s">
        <v>111</v>
      </c>
    </row>
  </sheetData>
  <mergeCells count="1">
    <mergeCell ref="A2:G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7" shapeId="2051" r:id="rId4">
          <objectPr defaultSize="0" r:id="rId5">
            <anchor moveWithCells="1">
              <from>
                <xdr:col>10</xdr:col>
                <xdr:colOff>361950</xdr:colOff>
                <xdr:row>0</xdr:row>
                <xdr:rowOff>38100</xdr:rowOff>
              </from>
              <to>
                <xdr:col>22</xdr:col>
                <xdr:colOff>590550</xdr:colOff>
                <xdr:row>30</xdr:row>
                <xdr:rowOff>152400</xdr:rowOff>
              </to>
            </anchor>
          </objectPr>
        </oleObject>
      </mc:Choice>
      <mc:Fallback>
        <oleObject progId="AcroExch.Document.7" shapeId="205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13" sqref="F13"/>
    </sheetView>
  </sheetViews>
  <sheetFormatPr defaultRowHeight="15" x14ac:dyDescent="0.25"/>
  <sheetData>
    <row r="1" spans="1:7" x14ac:dyDescent="0.25">
      <c r="A1" t="s">
        <v>128</v>
      </c>
      <c r="C1" t="s">
        <v>140</v>
      </c>
    </row>
    <row r="3" spans="1:7" x14ac:dyDescent="0.25">
      <c r="B3" t="s">
        <v>139</v>
      </c>
      <c r="C3" t="s">
        <v>137</v>
      </c>
      <c r="D3" t="s">
        <v>138</v>
      </c>
    </row>
    <row r="4" spans="1:7" x14ac:dyDescent="0.25">
      <c r="A4" t="s">
        <v>129</v>
      </c>
      <c r="B4">
        <v>1.5799999999999999E-4</v>
      </c>
      <c r="C4">
        <v>2.2800000000000001E-4</v>
      </c>
      <c r="D4">
        <v>0</v>
      </c>
    </row>
    <row r="5" spans="1:7" x14ac:dyDescent="0.25">
      <c r="A5" t="s">
        <v>130</v>
      </c>
      <c r="B5">
        <v>6.6000000000000005E-5</v>
      </c>
      <c r="C5">
        <v>-1.5799999999999999E-4</v>
      </c>
      <c r="D5">
        <v>0.14426</v>
      </c>
      <c r="G5" t="s">
        <v>142</v>
      </c>
    </row>
    <row r="6" spans="1:7" x14ac:dyDescent="0.25">
      <c r="A6" t="s">
        <v>131</v>
      </c>
      <c r="B6">
        <v>-2.7599999999999999E-4</v>
      </c>
      <c r="C6">
        <v>-3.6999999999999998E-5</v>
      </c>
      <c r="D6">
        <v>0.58529299999999995</v>
      </c>
      <c r="F6">
        <f>D7-D6</f>
        <v>0.14492000000000005</v>
      </c>
      <c r="G6" t="s">
        <v>144</v>
      </c>
    </row>
    <row r="7" spans="1:7" x14ac:dyDescent="0.25">
      <c r="A7" t="s">
        <v>132</v>
      </c>
      <c r="B7">
        <v>-1.13E-4</v>
      </c>
      <c r="C7">
        <v>4.3000000000000002E-5</v>
      </c>
      <c r="D7">
        <v>0.730213</v>
      </c>
    </row>
    <row r="8" spans="1:7" x14ac:dyDescent="0.25">
      <c r="A8" t="s">
        <v>133</v>
      </c>
      <c r="B8">
        <v>-1.9999999999999999E-6</v>
      </c>
      <c r="C8">
        <v>-3.0600000000000001E-4</v>
      </c>
      <c r="D8">
        <v>1.1714709999999999</v>
      </c>
    </row>
    <row r="9" spans="1:7" x14ac:dyDescent="0.25">
      <c r="A9" t="s">
        <v>134</v>
      </c>
      <c r="B9">
        <v>7.1000000000000005E-5</v>
      </c>
      <c r="C9">
        <v>1.13E-4</v>
      </c>
      <c r="D9">
        <v>1.3159350000000001</v>
      </c>
      <c r="F9">
        <f>D9-D8</f>
        <v>0.14446400000000015</v>
      </c>
      <c r="G9" t="s">
        <v>143</v>
      </c>
    </row>
    <row r="10" spans="1:7" x14ac:dyDescent="0.25">
      <c r="A10" t="s">
        <v>135</v>
      </c>
      <c r="B10">
        <v>1.3999999999999999E-4</v>
      </c>
      <c r="C10">
        <v>-1.7100000000000001E-4</v>
      </c>
      <c r="D10">
        <v>1.558184</v>
      </c>
    </row>
    <row r="11" spans="1:7" x14ac:dyDescent="0.25">
      <c r="A11" t="s">
        <v>136</v>
      </c>
      <c r="B11">
        <v>-4.3999999999999999E-5</v>
      </c>
      <c r="C11">
        <v>2.8800000000000001E-4</v>
      </c>
      <c r="D11">
        <v>1.70262</v>
      </c>
      <c r="F11">
        <f>D11-D10</f>
        <v>0.14443600000000001</v>
      </c>
      <c r="G11" t="s">
        <v>145</v>
      </c>
    </row>
    <row r="13" spans="1:7" x14ac:dyDescent="0.25">
      <c r="F13">
        <f>D11-1.6965</f>
        <v>6.1200000000001253E-3</v>
      </c>
      <c r="G1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Rel to Acc</vt:lpstr>
      <vt:lpstr>Rel to Goni</vt:lpstr>
      <vt:lpstr>Rel to HD 0,0</vt:lpstr>
      <vt:lpstr>Rel to measured sol center</vt:lpstr>
      <vt:lpstr>data from JD</vt:lpstr>
      <vt:lpstr>Reference frames</vt:lpstr>
      <vt:lpstr>FDC Packages</vt:lpstr>
    </vt:vector>
  </TitlesOfParts>
  <Company>Jefferson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dahlberg</dc:creator>
  <cp:lastModifiedBy>whitey</cp:lastModifiedBy>
  <cp:lastPrinted>2014-10-08T11:11:37Z</cp:lastPrinted>
  <dcterms:created xsi:type="dcterms:W3CDTF">2014-09-29T13:22:13Z</dcterms:created>
  <dcterms:modified xsi:type="dcterms:W3CDTF">2014-10-30T15:36:59Z</dcterms:modified>
</cp:coreProperties>
</file>