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drawings/drawing6.xml" ContentType="application/vnd.openxmlformats-officedocument.drawing+xml"/>
  <Override PartName="/xl/embeddings/oleObject21.bin" ContentType="application/vnd.openxmlformats-officedocument.oleObject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charts/chart2.xml" ContentType="application/vnd.openxmlformats-officedocument.drawingml.chart+xml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10.bin" ContentType="application/vnd.openxmlformats-officedocument.oleObject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charts/chart14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embeddings/oleObject9.bin" ContentType="application/vnd.openxmlformats-officedocument.oleObject"/>
  <Override PartName="/xl/embeddings/oleObject17.bin" ContentType="application/vnd.openxmlformats-officedocument.oleObject"/>
  <Override PartName="/xl/embeddings/oleObject26.bin" ContentType="application/vnd.openxmlformats-officedocument.oleObject"/>
  <Override PartName="/xl/charts/chart12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embeddings/oleObject7.bin" ContentType="application/vnd.openxmlformats-officedocument.oleObject"/>
  <Override PartName="/xl/charts/chart10.xml" ContentType="application/vnd.openxmlformats-officedocument.drawingml.chart+xml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drawings/drawing7.xml" ContentType="application/vnd.openxmlformats-officedocument.drawing+xml"/>
  <Override PartName="/xl/embeddings/oleObject22.bin" ContentType="application/vnd.openxmlformats-officedocument.oleObject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mbeddings/oleObject3.bin" ContentType="application/vnd.openxmlformats-officedocument.oleObject"/>
  <Default Extension="jpeg" ContentType="image/jpeg"/>
  <Override PartName="/xl/charts/chart3.xml" ContentType="application/vnd.openxmlformats-officedocument.drawingml.chart+xml"/>
  <Default Extension="emf" ContentType="image/x-emf"/>
  <Override PartName="/xl/drawings/drawing5.xml" ContentType="application/vnd.openxmlformats-officedocument.drawing+xml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Default Extension="vml" ContentType="application/vnd.openxmlformats-officedocument.vmlDrawing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embeddings/oleObject18.bin" ContentType="application/vnd.openxmlformats-officedocument.oleObject"/>
  <Override PartName="/xl/drawings/drawing10.xml" ContentType="application/vnd.openxmlformats-officedocument.drawing+xml"/>
  <Override PartName="/xl/embeddings/oleObject29.bin" ContentType="application/vnd.openxmlformats-officedocument.oleObject"/>
  <Override PartName="/xl/charts/chart13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embeddings/oleObject16.bin" ContentType="application/vnd.openxmlformats-officedocument.oleObject"/>
  <Override PartName="/xl/embeddings/oleObject25.bin" ContentType="application/vnd.openxmlformats-officedocument.oleObject"/>
  <Override PartName="/xl/embeddings/oleObject27.bin" ContentType="application/vnd.openxmlformats-officedocument.oleObject"/>
  <Override PartName="/xl/charts/chart1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embeddings/oleObject23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60" windowWidth="15195" windowHeight="13035" tabRatio="817" activeTab="1"/>
  </bookViews>
  <sheets>
    <sheet name="O-RING-FORCE" sheetId="9" r:id="rId1"/>
    <sheet name="pre-amp_locations FINAL" sheetId="26" r:id="rId2"/>
    <sheet name="pre-amp_locations" sheetId="8" r:id="rId3"/>
    <sheet name="membrane_deflection" sheetId="4" r:id="rId4"/>
    <sheet name="mat properties" sheetId="1" r:id="rId5"/>
    <sheet name="cooling_costs" sheetId="2" r:id="rId6"/>
    <sheet name="mass_per_solution" sheetId="6" r:id="rId7"/>
    <sheet name="package spacer_design" sheetId="7" r:id="rId8"/>
    <sheet name="copper_braid" sheetId="5" r:id="rId9"/>
    <sheet name="thermal_fdc2" sheetId="18" r:id="rId10"/>
    <sheet name="thermal_fdc" sheetId="3" r:id="rId11"/>
    <sheet name="fluid_equivalence" sheetId="14" r:id="rId12"/>
    <sheet name="fdc_weight" sheetId="15" r:id="rId13"/>
    <sheet name="driftcell spacer flow" sheetId="16" r:id="rId14"/>
    <sheet name="membrane deflection2" sheetId="17" r:id="rId15"/>
    <sheet name="spacer_material" sheetId="10" r:id="rId16"/>
    <sheet name="LASER TENSION" sheetId="11" r:id="rId17"/>
    <sheet name="edge_cutting" sheetId="12" r:id="rId18"/>
    <sheet name="FLATNESS BALLSCREW" sheetId="13" r:id="rId19"/>
    <sheet name="package threaded rods" sheetId="19" r:id="rId20"/>
    <sheet name="wire detection" sheetId="20" r:id="rId21"/>
    <sheet name="CURING COND EPOXY" sheetId="21" r:id="rId22"/>
    <sheet name="wire calculations" sheetId="22" r:id="rId23"/>
    <sheet name="wire deadening current" sheetId="23" r:id="rId24"/>
    <sheet name="sagging of deadened sense wires" sheetId="25" r:id="rId25"/>
  </sheets>
  <definedNames>
    <definedName name="_xlnm.Print_Area" localSheetId="8">copper_braid!$A$1:$K$34</definedName>
    <definedName name="_xlnm.Print_Area" localSheetId="12">fdc_weight!$H$41:$Q$66</definedName>
    <definedName name="_xlnm.Print_Area" localSheetId="11">fluid_equivalence!$A$1:$Q$98</definedName>
    <definedName name="_xlnm.Print_Area" localSheetId="4">'mat properties'!$A$42:$C$61</definedName>
    <definedName name="_xlnm.Print_Area" localSheetId="2">'pre-amp_locations'!$A$28:$G$50</definedName>
    <definedName name="_xlnm.Print_Area" localSheetId="1">'pre-amp_locations FINAL'!$A$28:$G$50</definedName>
    <definedName name="_xlnm.Print_Area" localSheetId="10">thermal_fdc!$A$1:$Q$63</definedName>
    <definedName name="_xlnm.Print_Area" localSheetId="9">thermal_fdc2!$A$1:$Q$75</definedName>
    <definedName name="solver_adj" localSheetId="3" hidden="1">membrane_deflection!$B$29</definedName>
    <definedName name="solver_cvg" localSheetId="3" hidden="1">0.0001</definedName>
    <definedName name="solver_drv" localSheetId="3" hidden="1">1</definedName>
    <definedName name="solver_est" localSheetId="3" hidden="1">1</definedName>
    <definedName name="solver_itr" localSheetId="3" hidden="1">100</definedName>
    <definedName name="solver_lin" localSheetId="3" hidden="1">2</definedName>
    <definedName name="solver_neg" localSheetId="3" hidden="1">2</definedName>
    <definedName name="solver_num" localSheetId="3" hidden="1">0</definedName>
    <definedName name="solver_nwt" localSheetId="3" hidden="1">1</definedName>
    <definedName name="solver_opt" localSheetId="3" hidden="1">membrane_deflection!$B$30</definedName>
    <definedName name="solver_pre" localSheetId="3" hidden="1">0.000001</definedName>
    <definedName name="solver_scl" localSheetId="3" hidden="1">2</definedName>
    <definedName name="solver_sho" localSheetId="3" hidden="1">2</definedName>
    <definedName name="solver_tim" localSheetId="3" hidden="1">100</definedName>
    <definedName name="solver_tol" localSheetId="3" hidden="1">0.05</definedName>
    <definedName name="solver_typ" localSheetId="3" hidden="1">3</definedName>
    <definedName name="solver_val" localSheetId="3" hidden="1">363</definedName>
  </definedNames>
  <calcPr calcId="125725"/>
</workbook>
</file>

<file path=xl/calcChain.xml><?xml version="1.0" encoding="utf-8"?>
<calcChain xmlns="http://schemas.openxmlformats.org/spreadsheetml/2006/main">
  <c r="M49" i="26"/>
  <c r="L49"/>
  <c r="M48"/>
  <c r="L48"/>
  <c r="M47"/>
  <c r="L47"/>
  <c r="M46"/>
  <c r="L46"/>
  <c r="M45"/>
  <c r="L45"/>
  <c r="M44"/>
  <c r="L44"/>
  <c r="M43"/>
  <c r="L43"/>
  <c r="M42"/>
  <c r="L42"/>
  <c r="M41"/>
  <c r="L41"/>
  <c r="M40"/>
  <c r="L40"/>
  <c r="M39"/>
  <c r="L39"/>
  <c r="M38"/>
  <c r="L38"/>
  <c r="M37"/>
  <c r="L37"/>
  <c r="M36"/>
  <c r="L36"/>
  <c r="M35"/>
  <c r="L35"/>
  <c r="M34"/>
  <c r="L34"/>
  <c r="M33"/>
  <c r="L33"/>
  <c r="M32"/>
  <c r="L32"/>
  <c r="M31"/>
  <c r="L31"/>
  <c r="G32"/>
  <c r="G33" s="1"/>
  <c r="G34" s="1"/>
  <c r="G35" s="1"/>
  <c r="G3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E72"/>
  <c r="D72"/>
  <c r="E71"/>
  <c r="D71"/>
  <c r="E70"/>
  <c r="D70"/>
  <c r="E69"/>
  <c r="D69"/>
  <c r="E68"/>
  <c r="D68"/>
  <c r="E67"/>
  <c r="D67"/>
  <c r="E66"/>
  <c r="D66"/>
  <c r="E65"/>
  <c r="D65"/>
  <c r="E64"/>
  <c r="D64"/>
  <c r="E63"/>
  <c r="D63"/>
  <c r="E62"/>
  <c r="D62"/>
  <c r="E61"/>
  <c r="D61"/>
  <c r="E60"/>
  <c r="D60"/>
  <c r="E59"/>
  <c r="D59"/>
  <c r="E58"/>
  <c r="D58"/>
  <c r="E57"/>
  <c r="D57"/>
  <c r="E56"/>
  <c r="D56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E46"/>
  <c r="D46"/>
  <c r="E45"/>
  <c r="D45"/>
  <c r="E44"/>
  <c r="D44"/>
  <c r="E43"/>
  <c r="D43"/>
  <c r="E42"/>
  <c r="D42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K33"/>
  <c r="J33"/>
  <c r="K32"/>
  <c r="J32"/>
  <c r="I36"/>
  <c r="J36" s="1"/>
  <c r="I35"/>
  <c r="J35" s="1"/>
  <c r="B60"/>
  <c r="B56"/>
  <c r="B54"/>
  <c r="B53"/>
  <c r="B52"/>
  <c r="B51"/>
  <c r="B69"/>
  <c r="B65"/>
  <c r="B63"/>
  <c r="B61"/>
  <c r="B59"/>
  <c r="B57"/>
  <c r="B55"/>
  <c r="C12" i="25"/>
  <c r="C13" s="1"/>
  <c r="C14" s="1"/>
  <c r="C16"/>
  <c r="C17"/>
  <c r="A32"/>
  <c r="A33" s="1"/>
  <c r="A43"/>
  <c r="A44"/>
  <c r="A42" s="1"/>
  <c r="A55"/>
  <c r="A56" s="1"/>
  <c r="A57" s="1"/>
  <c r="A58" s="1"/>
  <c r="A59" s="1"/>
  <c r="A60" s="1"/>
  <c r="A61" s="1"/>
  <c r="B33" i="23"/>
  <c r="B5"/>
  <c r="B11" s="1"/>
  <c r="B15" s="1"/>
  <c r="B4"/>
  <c r="B10" s="1"/>
  <c r="B14" s="1"/>
  <c r="A34"/>
  <c r="A35" s="1"/>
  <c r="D4" i="19"/>
  <c r="K9" i="22"/>
  <c r="G16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15"/>
  <c r="K5"/>
  <c r="K2"/>
  <c r="B64"/>
  <c r="C64" s="1"/>
  <c r="A64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C63"/>
  <c r="C14"/>
  <c r="K14" s="1"/>
  <c r="B15"/>
  <c r="C15" s="1"/>
  <c r="F15" s="1"/>
  <c r="I15" s="1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15"/>
  <c r="B9" i="20"/>
  <c r="B8"/>
  <c r="C16" i="19"/>
  <c r="C7"/>
  <c r="C8" s="1"/>
  <c r="C14" s="1"/>
  <c r="C15" s="1"/>
  <c r="L9" i="13"/>
  <c r="L5"/>
  <c r="C28" i="12"/>
  <c r="B28"/>
  <c r="B27"/>
  <c r="C25"/>
  <c r="C24"/>
  <c r="B25"/>
  <c r="B20"/>
  <c r="B17"/>
  <c r="B18" s="1"/>
  <c r="B30" s="1"/>
  <c r="B31" s="1"/>
  <c r="B11"/>
  <c r="B10"/>
  <c r="B13" i="11"/>
  <c r="C13" s="1"/>
  <c r="C12"/>
  <c r="C11"/>
  <c r="C7"/>
  <c r="C5"/>
  <c r="B41" i="3"/>
  <c r="B6" i="11"/>
  <c r="C6" s="1"/>
  <c r="B20" i="10"/>
  <c r="B16"/>
  <c r="E76" i="18"/>
  <c r="E77" s="1"/>
  <c r="E78" s="1"/>
  <c r="E79" s="1"/>
  <c r="E80" s="1"/>
  <c r="E81" s="1"/>
  <c r="E82" s="1"/>
  <c r="E75"/>
  <c r="W70"/>
  <c r="F43"/>
  <c r="G43" s="1"/>
  <c r="D43"/>
  <c r="B43"/>
  <c r="F42"/>
  <c r="G42" s="1"/>
  <c r="D42"/>
  <c r="B42"/>
  <c r="F41"/>
  <c r="O41" s="1"/>
  <c r="D41"/>
  <c r="B41"/>
  <c r="F40"/>
  <c r="D40"/>
  <c r="B40"/>
  <c r="G39"/>
  <c r="F39"/>
  <c r="O39" s="1"/>
  <c r="D39"/>
  <c r="B39"/>
  <c r="F38"/>
  <c r="D38"/>
  <c r="B38"/>
  <c r="G37"/>
  <c r="F37"/>
  <c r="O37" s="1"/>
  <c r="D37"/>
  <c r="B37"/>
  <c r="F36"/>
  <c r="G36" s="1"/>
  <c r="D36"/>
  <c r="B36"/>
  <c r="C36" s="1"/>
  <c r="F35"/>
  <c r="O35" s="1"/>
  <c r="D35"/>
  <c r="B35"/>
  <c r="B69"/>
  <c r="I15" i="16"/>
  <c r="I14"/>
  <c r="I8"/>
  <c r="B28"/>
  <c r="B27"/>
  <c r="B24"/>
  <c r="B26" s="1"/>
  <c r="B23"/>
  <c r="B22"/>
  <c r="B4"/>
  <c r="B19"/>
  <c r="B17"/>
  <c r="B21"/>
  <c r="B45" i="1"/>
  <c r="B13" i="16"/>
  <c r="G21" i="17"/>
  <c r="B22"/>
  <c r="B10"/>
  <c r="B7"/>
  <c r="B9"/>
  <c r="B21" s="1"/>
  <c r="I15" i="4"/>
  <c r="I14"/>
  <c r="I13"/>
  <c r="I12"/>
  <c r="B6" i="16"/>
  <c r="B8" s="1"/>
  <c r="B10" s="1"/>
  <c r="G35" i="9"/>
  <c r="F72" i="18"/>
  <c r="L34" i="9"/>
  <c r="B61" i="1"/>
  <c r="A70" i="18"/>
  <c r="A71" s="1"/>
  <c r="B71" s="1"/>
  <c r="B32"/>
  <c r="C80" s="1"/>
  <c r="D80" s="1"/>
  <c r="A45"/>
  <c r="A46" s="1"/>
  <c r="B31"/>
  <c r="B27"/>
  <c r="F44"/>
  <c r="O44" s="1"/>
  <c r="B45" i="3"/>
  <c r="B29" i="18"/>
  <c r="D44"/>
  <c r="B28"/>
  <c r="H44" s="1"/>
  <c r="B44"/>
  <c r="H22"/>
  <c r="C22"/>
  <c r="B22"/>
  <c r="H21"/>
  <c r="F21"/>
  <c r="C21"/>
  <c r="B21"/>
  <c r="I20"/>
  <c r="H20"/>
  <c r="F20"/>
  <c r="C20"/>
  <c r="B20"/>
  <c r="B17"/>
  <c r="B5"/>
  <c r="L43" s="1"/>
  <c r="M43" s="1"/>
  <c r="B41" i="15"/>
  <c r="I37"/>
  <c r="I36"/>
  <c r="I35"/>
  <c r="I38" s="1"/>
  <c r="I39" s="1"/>
  <c r="G30"/>
  <c r="G29"/>
  <c r="G28"/>
  <c r="G27"/>
  <c r="G26"/>
  <c r="F30"/>
  <c r="F29"/>
  <c r="F28"/>
  <c r="F27"/>
  <c r="F26"/>
  <c r="I22"/>
  <c r="I20"/>
  <c r="B59" i="1"/>
  <c r="B60" s="1"/>
  <c r="B52"/>
  <c r="B51"/>
  <c r="B55"/>
  <c r="G22" i="17" s="1"/>
  <c r="G13" i="15"/>
  <c r="G12"/>
  <c r="G11"/>
  <c r="G10"/>
  <c r="G9"/>
  <c r="G8"/>
  <c r="G7"/>
  <c r="G6"/>
  <c r="G5"/>
  <c r="F17"/>
  <c r="I17" s="1"/>
  <c r="F16"/>
  <c r="I16" s="1"/>
  <c r="F15"/>
  <c r="I15" s="1"/>
  <c r="F14"/>
  <c r="I14" s="1"/>
  <c r="F13"/>
  <c r="I13" s="1"/>
  <c r="F10"/>
  <c r="F9"/>
  <c r="F6"/>
  <c r="F12"/>
  <c r="I12" s="1"/>
  <c r="F11"/>
  <c r="I11" s="1"/>
  <c r="F8"/>
  <c r="I8" s="1"/>
  <c r="F7"/>
  <c r="I7" s="1"/>
  <c r="F5"/>
  <c r="B31" i="14"/>
  <c r="B32" s="1"/>
  <c r="B33" s="1"/>
  <c r="B34" s="1"/>
  <c r="B35" s="1"/>
  <c r="B36" s="1"/>
  <c r="B37" s="1"/>
  <c r="B38" s="1"/>
  <c r="B39" s="1"/>
  <c r="I98"/>
  <c r="H98"/>
  <c r="F98"/>
  <c r="C98"/>
  <c r="B98"/>
  <c r="D98" s="1"/>
  <c r="B92"/>
  <c r="C92" s="1"/>
  <c r="B91"/>
  <c r="C91" s="1"/>
  <c r="B88"/>
  <c r="B89" s="1"/>
  <c r="B85"/>
  <c r="B80"/>
  <c r="B77"/>
  <c r="B79" s="1"/>
  <c r="B75"/>
  <c r="B76" s="1"/>
  <c r="H63"/>
  <c r="C63"/>
  <c r="B63"/>
  <c r="H62"/>
  <c r="F62"/>
  <c r="D62" s="1"/>
  <c r="C62"/>
  <c r="B62"/>
  <c r="B25"/>
  <c r="B26"/>
  <c r="F30"/>
  <c r="D30" s="1"/>
  <c r="B24"/>
  <c r="B23"/>
  <c r="B17"/>
  <c r="B67" s="1"/>
  <c r="C67" s="1"/>
  <c r="C13"/>
  <c r="B5"/>
  <c r="B6" s="1"/>
  <c r="G13" i="7"/>
  <c r="B29"/>
  <c r="B30" s="1"/>
  <c r="G14" s="1"/>
  <c r="G15" s="1"/>
  <c r="I7"/>
  <c r="B26"/>
  <c r="B27" s="1"/>
  <c r="C6"/>
  <c r="C7"/>
  <c r="B30" i="4"/>
  <c r="B4"/>
  <c r="B5" s="1"/>
  <c r="B10"/>
  <c r="B9"/>
  <c r="B26" s="1"/>
  <c r="C34" i="9"/>
  <c r="C31"/>
  <c r="C59" s="1"/>
  <c r="C57"/>
  <c r="C36"/>
  <c r="C28"/>
  <c r="C40"/>
  <c r="C39"/>
  <c r="C47"/>
  <c r="C50" s="1"/>
  <c r="C45"/>
  <c r="C48"/>
  <c r="C46"/>
  <c r="C29" i="8"/>
  <c r="D29"/>
  <c r="C30"/>
  <c r="D30"/>
  <c r="C31"/>
  <c r="D31"/>
  <c r="C32"/>
  <c r="D32"/>
  <c r="B33"/>
  <c r="D33"/>
  <c r="B34"/>
  <c r="B43"/>
  <c r="B35"/>
  <c r="D35" s="1"/>
  <c r="C35"/>
  <c r="B36"/>
  <c r="B58" s="1"/>
  <c r="B37"/>
  <c r="D37"/>
  <c r="C37"/>
  <c r="B38"/>
  <c r="B47" s="1"/>
  <c r="B39"/>
  <c r="B48" s="1"/>
  <c r="B40"/>
  <c r="C40"/>
  <c r="D40"/>
  <c r="B41"/>
  <c r="D41" s="1"/>
  <c r="C41"/>
  <c r="B42"/>
  <c r="D42"/>
  <c r="B46"/>
  <c r="B68" s="1"/>
  <c r="B49"/>
  <c r="D49" s="1"/>
  <c r="C49"/>
  <c r="B50"/>
  <c r="B72" s="1"/>
  <c r="B51"/>
  <c r="C51"/>
  <c r="D51"/>
  <c r="B52"/>
  <c r="C52" s="1"/>
  <c r="D52"/>
  <c r="B53"/>
  <c r="C53" s="1"/>
  <c r="B54"/>
  <c r="B76" s="1"/>
  <c r="B55"/>
  <c r="C55" s="1"/>
  <c r="D55"/>
  <c r="B56"/>
  <c r="D56" s="1"/>
  <c r="B57"/>
  <c r="C57" s="1"/>
  <c r="B59"/>
  <c r="D59" s="1"/>
  <c r="B60"/>
  <c r="B82" s="1"/>
  <c r="B62"/>
  <c r="D62" s="1"/>
  <c r="B63"/>
  <c r="B85" s="1"/>
  <c r="B64"/>
  <c r="C64"/>
  <c r="D64"/>
  <c r="B71"/>
  <c r="D71" s="1"/>
  <c r="B73"/>
  <c r="D73" s="1"/>
  <c r="C73"/>
  <c r="B74"/>
  <c r="D74" s="1"/>
  <c r="B77"/>
  <c r="C77" s="1"/>
  <c r="E77"/>
  <c r="F77"/>
  <c r="B78"/>
  <c r="C78" s="1"/>
  <c r="D78"/>
  <c r="F78"/>
  <c r="B81"/>
  <c r="D81" s="1"/>
  <c r="C81"/>
  <c r="E81"/>
  <c r="F81"/>
  <c r="B84"/>
  <c r="F84" s="1"/>
  <c r="B86"/>
  <c r="D86" s="1"/>
  <c r="B93"/>
  <c r="D93" s="1"/>
  <c r="B10" i="7"/>
  <c r="B18" s="1"/>
  <c r="C14"/>
  <c r="B12"/>
  <c r="B5"/>
  <c r="B59" i="3"/>
  <c r="C59" s="1"/>
  <c r="B58"/>
  <c r="B17"/>
  <c r="H28"/>
  <c r="B1" i="5"/>
  <c r="B18"/>
  <c r="B52" i="3"/>
  <c r="C28"/>
  <c r="B22" i="5"/>
  <c r="B26" s="1"/>
  <c r="C22" i="3"/>
  <c r="C26"/>
  <c r="B42"/>
  <c r="B44" s="1"/>
  <c r="B55"/>
  <c r="B56" s="1"/>
  <c r="B28"/>
  <c r="F27"/>
  <c r="D27" s="1"/>
  <c r="B27"/>
  <c r="F26"/>
  <c r="D26" s="1"/>
  <c r="B26"/>
  <c r="B14" i="5"/>
  <c r="B15" s="1"/>
  <c r="G15"/>
  <c r="G16" s="1"/>
  <c r="G13"/>
  <c r="C27" i="3"/>
  <c r="B6" i="5"/>
  <c r="B7" s="1"/>
  <c r="B8" s="1"/>
  <c r="B22" i="3"/>
  <c r="B21"/>
  <c r="B20"/>
  <c r="B40"/>
  <c r="H27"/>
  <c r="I20"/>
  <c r="B31" s="1"/>
  <c r="C31" s="1"/>
  <c r="H26"/>
  <c r="C13"/>
  <c r="I26"/>
  <c r="C63"/>
  <c r="B63"/>
  <c r="D63" s="1"/>
  <c r="F63"/>
  <c r="I63"/>
  <c r="H63"/>
  <c r="B5"/>
  <c r="B6" s="1"/>
  <c r="B8" s="1"/>
  <c r="B10" s="1"/>
  <c r="C21"/>
  <c r="F21"/>
  <c r="C20"/>
  <c r="F20"/>
  <c r="H22"/>
  <c r="H21"/>
  <c r="H20"/>
  <c r="R26" i="1"/>
  <c r="I27" i="3" s="1"/>
  <c r="R25" i="1"/>
  <c r="Q24"/>
  <c r="F22" i="3" s="1"/>
  <c r="H23" i="1"/>
  <c r="Q23"/>
  <c r="P23"/>
  <c r="O23"/>
  <c r="N23"/>
  <c r="M23"/>
  <c r="L23"/>
  <c r="K23"/>
  <c r="J23"/>
  <c r="I23"/>
  <c r="G23"/>
  <c r="E23"/>
  <c r="D23"/>
  <c r="C23"/>
  <c r="B23"/>
  <c r="F23"/>
  <c r="D43" i="8"/>
  <c r="B65"/>
  <c r="D65" s="1"/>
  <c r="C43"/>
  <c r="I21" i="3"/>
  <c r="B32" s="1"/>
  <c r="C32" s="1"/>
  <c r="B37" s="1"/>
  <c r="C84" i="8"/>
  <c r="E78"/>
  <c r="C74"/>
  <c r="C62"/>
  <c r="C54"/>
  <c r="C50"/>
  <c r="C46"/>
  <c r="C42"/>
  <c r="C38"/>
  <c r="C34"/>
  <c r="D84"/>
  <c r="D38"/>
  <c r="D34"/>
  <c r="C33"/>
  <c r="C65"/>
  <c r="B87"/>
  <c r="C87" s="1"/>
  <c r="D87"/>
  <c r="D115" i="26" l="1"/>
  <c r="D113"/>
  <c r="D111"/>
  <c r="D109"/>
  <c r="D107"/>
  <c r="D105"/>
  <c r="D103"/>
  <c r="D101"/>
  <c r="D99"/>
  <c r="D97"/>
  <c r="D95"/>
  <c r="E115"/>
  <c r="E113"/>
  <c r="E111"/>
  <c r="E109"/>
  <c r="E107"/>
  <c r="E105"/>
  <c r="E103"/>
  <c r="E101"/>
  <c r="E99"/>
  <c r="E97"/>
  <c r="E95"/>
  <c r="D116"/>
  <c r="D114"/>
  <c r="D112"/>
  <c r="D110"/>
  <c r="D108"/>
  <c r="D106"/>
  <c r="D104"/>
  <c r="D102"/>
  <c r="D100"/>
  <c r="D98"/>
  <c r="D96"/>
  <c r="E116"/>
  <c r="E114"/>
  <c r="E112"/>
  <c r="E110"/>
  <c r="E108"/>
  <c r="E106"/>
  <c r="E104"/>
  <c r="E102"/>
  <c r="E100"/>
  <c r="E98"/>
  <c r="E96"/>
  <c r="E73"/>
  <c r="D77"/>
  <c r="D81"/>
  <c r="D85"/>
  <c r="D89"/>
  <c r="D93"/>
  <c r="D76"/>
  <c r="D80"/>
  <c r="D84"/>
  <c r="D88"/>
  <c r="D92"/>
  <c r="E75"/>
  <c r="D79"/>
  <c r="D83"/>
  <c r="D87"/>
  <c r="D91"/>
  <c r="D73"/>
  <c r="D74"/>
  <c r="D78"/>
  <c r="D82"/>
  <c r="D86"/>
  <c r="D90"/>
  <c r="D94"/>
  <c r="E86"/>
  <c r="E88"/>
  <c r="E90"/>
  <c r="E92"/>
  <c r="E94"/>
  <c r="E87"/>
  <c r="E89"/>
  <c r="E91"/>
  <c r="E93"/>
  <c r="E78"/>
  <c r="E80"/>
  <c r="E82"/>
  <c r="E84"/>
  <c r="E77"/>
  <c r="E79"/>
  <c r="E81"/>
  <c r="E83"/>
  <c r="E85"/>
  <c r="E74"/>
  <c r="E76"/>
  <c r="D75"/>
  <c r="I39"/>
  <c r="K36"/>
  <c r="I38"/>
  <c r="K35"/>
  <c r="F80" i="18"/>
  <c r="I44"/>
  <c r="N44" s="1"/>
  <c r="C35"/>
  <c r="H35"/>
  <c r="I35" s="1"/>
  <c r="N35" s="1"/>
  <c r="G38"/>
  <c r="H40"/>
  <c r="I40" s="1"/>
  <c r="N40" s="1"/>
  <c r="G41"/>
  <c r="C42"/>
  <c r="C43"/>
  <c r="P35"/>
  <c r="Q35" s="1"/>
  <c r="R35" s="1"/>
  <c r="O36"/>
  <c r="P36" s="1"/>
  <c r="Q36" s="1"/>
  <c r="R36" s="1"/>
  <c r="P37"/>
  <c r="Q37" s="1"/>
  <c r="R37" s="1"/>
  <c r="O38"/>
  <c r="P38" s="1"/>
  <c r="Q38" s="1"/>
  <c r="R38" s="1"/>
  <c r="P39"/>
  <c r="Q39" s="1"/>
  <c r="R39" s="1"/>
  <c r="O40"/>
  <c r="P40" s="1"/>
  <c r="Q40" s="1"/>
  <c r="R40" s="1"/>
  <c r="P41"/>
  <c r="Q41" s="1"/>
  <c r="R41" s="1"/>
  <c r="O42"/>
  <c r="P42" s="1"/>
  <c r="Q42" s="1"/>
  <c r="R42" s="1"/>
  <c r="F75"/>
  <c r="G35"/>
  <c r="C37"/>
  <c r="H37"/>
  <c r="I37" s="1"/>
  <c r="N37" s="1"/>
  <c r="G40"/>
  <c r="H42"/>
  <c r="I42" s="1"/>
  <c r="N42" s="1"/>
  <c r="H43"/>
  <c r="I43" s="1"/>
  <c r="N43" s="1"/>
  <c r="O43"/>
  <c r="P43" s="1"/>
  <c r="Q43" s="1"/>
  <c r="R43" s="1"/>
  <c r="H36"/>
  <c r="I36" s="1"/>
  <c r="N36" s="1"/>
  <c r="C38"/>
  <c r="C39"/>
  <c r="H39"/>
  <c r="I39" s="1"/>
  <c r="N39" s="1"/>
  <c r="F81"/>
  <c r="H38"/>
  <c r="I38" s="1"/>
  <c r="N38" s="1"/>
  <c r="C40"/>
  <c r="C41"/>
  <c r="H41"/>
  <c r="I41" s="1"/>
  <c r="N41" s="1"/>
  <c r="L35"/>
  <c r="M35" s="1"/>
  <c r="L36"/>
  <c r="M36" s="1"/>
  <c r="L37"/>
  <c r="M37" s="1"/>
  <c r="L38"/>
  <c r="M38" s="1"/>
  <c r="L39"/>
  <c r="M39" s="1"/>
  <c r="L40"/>
  <c r="M40" s="1"/>
  <c r="L41"/>
  <c r="M41" s="1"/>
  <c r="L42"/>
  <c r="M42" s="1"/>
  <c r="B71" i="26"/>
  <c r="B67"/>
  <c r="B58"/>
  <c r="B62"/>
  <c r="B31" i="25"/>
  <c r="C44"/>
  <c r="B27"/>
  <c r="C33"/>
  <c r="B44"/>
  <c r="B26"/>
  <c r="C32"/>
  <c r="B33"/>
  <c r="C31"/>
  <c r="B32"/>
  <c r="D43"/>
  <c r="D42"/>
  <c r="D31"/>
  <c r="D33"/>
  <c r="A34"/>
  <c r="E33"/>
  <c r="D44"/>
  <c r="E44"/>
  <c r="C33" i="23"/>
  <c r="E33" s="1"/>
  <c r="G33" s="1"/>
  <c r="A36"/>
  <c r="B35"/>
  <c r="B34"/>
  <c r="D33"/>
  <c r="F33" s="1"/>
  <c r="H33" s="1"/>
  <c r="E14" i="22"/>
  <c r="F14"/>
  <c r="I14" s="1"/>
  <c r="K15"/>
  <c r="E15"/>
  <c r="E63"/>
  <c r="F64"/>
  <c r="F63"/>
  <c r="K6"/>
  <c r="E64"/>
  <c r="B16"/>
  <c r="B65"/>
  <c r="B19" i="12"/>
  <c r="C31" s="1"/>
  <c r="C75" i="18"/>
  <c r="D75" s="1"/>
  <c r="C79"/>
  <c r="D79" s="1"/>
  <c r="F79" s="1"/>
  <c r="C78"/>
  <c r="D78" s="1"/>
  <c r="F78" s="1"/>
  <c r="C82"/>
  <c r="C77"/>
  <c r="D77" s="1"/>
  <c r="F77" s="1"/>
  <c r="C81"/>
  <c r="D81" s="1"/>
  <c r="C76"/>
  <c r="D76" s="1"/>
  <c r="F76" s="1"/>
  <c r="B70"/>
  <c r="I16" i="16"/>
  <c r="B14"/>
  <c r="B15" s="1"/>
  <c r="B56" i="1"/>
  <c r="I26" i="15"/>
  <c r="I28"/>
  <c r="B23" i="17"/>
  <c r="C37" i="9"/>
  <c r="F85" i="8"/>
  <c r="E85"/>
  <c r="C85"/>
  <c r="D85"/>
  <c r="C76"/>
  <c r="D76"/>
  <c r="D72"/>
  <c r="C72"/>
  <c r="B94"/>
  <c r="C47"/>
  <c r="B69"/>
  <c r="D47"/>
  <c r="B80"/>
  <c r="D58"/>
  <c r="C58"/>
  <c r="F82"/>
  <c r="D82"/>
  <c r="E82"/>
  <c r="C82"/>
  <c r="D68"/>
  <c r="C68"/>
  <c r="B90"/>
  <c r="B70"/>
  <c r="D48"/>
  <c r="C48"/>
  <c r="A72" i="18"/>
  <c r="B72" s="1"/>
  <c r="D20" i="3"/>
  <c r="C56" i="9"/>
  <c r="B38" i="4"/>
  <c r="I62" i="14"/>
  <c r="B53" i="1"/>
  <c r="B54" s="1"/>
  <c r="I27" i="15"/>
  <c r="L44" i="18"/>
  <c r="M44" s="1"/>
  <c r="I21"/>
  <c r="C86" i="8"/>
  <c r="E84"/>
  <c r="C71"/>
  <c r="C63"/>
  <c r="C60"/>
  <c r="D57"/>
  <c r="D54"/>
  <c r="C39"/>
  <c r="C36"/>
  <c r="F63" i="14"/>
  <c r="D63" s="1"/>
  <c r="M63" s="1"/>
  <c r="N63" s="1"/>
  <c r="I30" i="15"/>
  <c r="F22" i="18"/>
  <c r="D22" i="3"/>
  <c r="E22" s="1"/>
  <c r="B57"/>
  <c r="G6" i="7"/>
  <c r="I6" s="1"/>
  <c r="C93" i="8"/>
  <c r="B79"/>
  <c r="D77"/>
  <c r="D63"/>
  <c r="D60"/>
  <c r="C59"/>
  <c r="C56"/>
  <c r="D53"/>
  <c r="D50"/>
  <c r="D46"/>
  <c r="B45"/>
  <c r="D39"/>
  <c r="D36"/>
  <c r="I29" i="15"/>
  <c r="D21" i="3"/>
  <c r="B28" i="5"/>
  <c r="B11"/>
  <c r="B75" i="8"/>
  <c r="B61"/>
  <c r="B44"/>
  <c r="G44" i="18"/>
  <c r="A47"/>
  <c r="D47" s="1"/>
  <c r="F46"/>
  <c r="L46" s="1"/>
  <c r="M46" s="1"/>
  <c r="F45"/>
  <c r="P44"/>
  <c r="Q44" s="1"/>
  <c r="R44" s="1"/>
  <c r="B6"/>
  <c r="D22" s="1"/>
  <c r="C44"/>
  <c r="B45"/>
  <c r="C45" s="1"/>
  <c r="D46"/>
  <c r="H46"/>
  <c r="I46" s="1"/>
  <c r="N46" s="1"/>
  <c r="B46"/>
  <c r="C46" s="1"/>
  <c r="D45"/>
  <c r="H45"/>
  <c r="I45" s="1"/>
  <c r="N45" s="1"/>
  <c r="B8"/>
  <c r="B10" s="1"/>
  <c r="B27" i="5"/>
  <c r="I6" i="15"/>
  <c r="I10"/>
  <c r="I9"/>
  <c r="B36" i="3"/>
  <c r="G8" i="7"/>
  <c r="I8" s="1"/>
  <c r="P62" i="14"/>
  <c r="B72"/>
  <c r="E98"/>
  <c r="I5" i="15"/>
  <c r="I30" i="14"/>
  <c r="J30" s="1"/>
  <c r="E30"/>
  <c r="B27" s="1"/>
  <c r="G30" s="1"/>
  <c r="E63"/>
  <c r="J63" s="1"/>
  <c r="J64" s="1"/>
  <c r="M62"/>
  <c r="N62" s="1"/>
  <c r="E62"/>
  <c r="J62" s="1"/>
  <c r="K62" s="1"/>
  <c r="L30"/>
  <c r="P63"/>
  <c r="L66"/>
  <c r="B90"/>
  <c r="B93" s="1"/>
  <c r="B68"/>
  <c r="C68" s="1"/>
  <c r="B73" s="1"/>
  <c r="B81" s="1"/>
  <c r="B82" s="1"/>
  <c r="B84" s="1"/>
  <c r="C84" s="1"/>
  <c r="G98"/>
  <c r="B8"/>
  <c r="B10" s="1"/>
  <c r="B66"/>
  <c r="C66" s="1"/>
  <c r="B71" s="1"/>
  <c r="B16" i="7"/>
  <c r="C16" s="1"/>
  <c r="C18"/>
  <c r="B19"/>
  <c r="C19" s="1"/>
  <c r="G5"/>
  <c r="I5" s="1"/>
  <c r="B28" i="4"/>
  <c r="Q26" i="1"/>
  <c r="F28" i="3"/>
  <c r="D28" s="1"/>
  <c r="E28" s="1"/>
  <c r="J28" s="1"/>
  <c r="O26"/>
  <c r="E21"/>
  <c r="C42" i="9"/>
  <c r="C51" s="1"/>
  <c r="C52" s="1"/>
  <c r="C53" s="1"/>
  <c r="C54" s="1"/>
  <c r="C55" s="1"/>
  <c r="B17" i="4"/>
  <c r="B20" s="1"/>
  <c r="E63" i="3"/>
  <c r="G63"/>
  <c r="E20"/>
  <c r="G20"/>
  <c r="M27"/>
  <c r="O27"/>
  <c r="E27"/>
  <c r="J27" s="1"/>
  <c r="K27" s="1"/>
  <c r="B60"/>
  <c r="B33" i="5" s="1"/>
  <c r="E26" i="3"/>
  <c r="J26" s="1"/>
  <c r="K26" s="1"/>
  <c r="C58"/>
  <c r="M26"/>
  <c r="L31"/>
  <c r="G22"/>
  <c r="G21"/>
  <c r="J21" s="1"/>
  <c r="K21" s="1"/>
  <c r="L21" s="1"/>
  <c r="D138" i="26" l="1"/>
  <c r="D136"/>
  <c r="D134"/>
  <c r="D132"/>
  <c r="D130"/>
  <c r="D128"/>
  <c r="D126"/>
  <c r="D124"/>
  <c r="D122"/>
  <c r="D120"/>
  <c r="D118"/>
  <c r="E138"/>
  <c r="E136"/>
  <c r="E134"/>
  <c r="E132"/>
  <c r="E130"/>
  <c r="E128"/>
  <c r="E126"/>
  <c r="E124"/>
  <c r="E122"/>
  <c r="E120"/>
  <c r="E118"/>
  <c r="D137"/>
  <c r="D135"/>
  <c r="D133"/>
  <c r="D131"/>
  <c r="D129"/>
  <c r="D127"/>
  <c r="D125"/>
  <c r="D123"/>
  <c r="D121"/>
  <c r="D119"/>
  <c r="D117"/>
  <c r="E137"/>
  <c r="E135"/>
  <c r="E133"/>
  <c r="E131"/>
  <c r="E129"/>
  <c r="E127"/>
  <c r="E125"/>
  <c r="E123"/>
  <c r="E121"/>
  <c r="E119"/>
  <c r="E117"/>
  <c r="I42"/>
  <c r="J39"/>
  <c r="K39"/>
  <c r="I41"/>
  <c r="J38"/>
  <c r="K38"/>
  <c r="F47" i="18"/>
  <c r="G47" s="1"/>
  <c r="B66" i="26"/>
  <c r="B70"/>
  <c r="B72"/>
  <c r="B64"/>
  <c r="B68"/>
  <c r="E32" i="25"/>
  <c r="E31"/>
  <c r="D32"/>
  <c r="A35"/>
  <c r="E34"/>
  <c r="D34"/>
  <c r="C34"/>
  <c r="B34"/>
  <c r="C35" i="23"/>
  <c r="E35" s="1"/>
  <c r="G35" s="1"/>
  <c r="D35"/>
  <c r="F35" s="1"/>
  <c r="H35" s="1"/>
  <c r="C34"/>
  <c r="E34" s="1"/>
  <c r="G34" s="1"/>
  <c r="D34"/>
  <c r="F34" s="1"/>
  <c r="H34" s="1"/>
  <c r="A37"/>
  <c r="B36"/>
  <c r="C65" i="22"/>
  <c r="B66"/>
  <c r="B17"/>
  <c r="C16"/>
  <c r="X66" i="18"/>
  <c r="D82"/>
  <c r="F82" s="1"/>
  <c r="D20"/>
  <c r="H47"/>
  <c r="I47" s="1"/>
  <c r="N47" s="1"/>
  <c r="D21"/>
  <c r="B47"/>
  <c r="C47" s="1"/>
  <c r="K63" i="14"/>
  <c r="I31" i="15"/>
  <c r="D37" i="9"/>
  <c r="L36"/>
  <c r="L37" s="1"/>
  <c r="I22" i="18"/>
  <c r="I63" i="14"/>
  <c r="D70" i="8"/>
  <c r="B92"/>
  <c r="C70"/>
  <c r="B91"/>
  <c r="D69"/>
  <c r="C69"/>
  <c r="A48" i="18"/>
  <c r="D75" i="8"/>
  <c r="C75"/>
  <c r="C79"/>
  <c r="F79"/>
  <c r="E79"/>
  <c r="D79"/>
  <c r="O46" i="18"/>
  <c r="P46" s="1"/>
  <c r="Q46" s="1"/>
  <c r="R46" s="1"/>
  <c r="G46"/>
  <c r="B83" i="8"/>
  <c r="C61"/>
  <c r="D61"/>
  <c r="D45"/>
  <c r="C45"/>
  <c r="B67"/>
  <c r="C80"/>
  <c r="F80"/>
  <c r="D80"/>
  <c r="E80"/>
  <c r="D94"/>
  <c r="C94"/>
  <c r="O45" i="18"/>
  <c r="P45" s="1"/>
  <c r="Q45" s="1"/>
  <c r="R45" s="1"/>
  <c r="G45"/>
  <c r="B66" i="8"/>
  <c r="D44"/>
  <c r="C44"/>
  <c r="A73" i="18"/>
  <c r="B73" s="1"/>
  <c r="D90" i="8"/>
  <c r="C90"/>
  <c r="J22" i="3"/>
  <c r="K22" s="1"/>
  <c r="L22" s="1"/>
  <c r="L47" i="18"/>
  <c r="M47" s="1"/>
  <c r="O47"/>
  <c r="P47" s="1"/>
  <c r="Q47" s="1"/>
  <c r="R47" s="1"/>
  <c r="L45"/>
  <c r="M45" s="1"/>
  <c r="A49"/>
  <c r="F48"/>
  <c r="G48" s="1"/>
  <c r="E22"/>
  <c r="G22"/>
  <c r="E21"/>
  <c r="G21"/>
  <c r="G20"/>
  <c r="E20"/>
  <c r="I23" i="15"/>
  <c r="I43" s="1"/>
  <c r="J98" i="14"/>
  <c r="K98" s="1"/>
  <c r="L98" s="1"/>
  <c r="I9" i="7"/>
  <c r="O62" i="14"/>
  <c r="L62"/>
  <c r="K30"/>
  <c r="H30"/>
  <c r="O63"/>
  <c r="L63"/>
  <c r="B17" i="7"/>
  <c r="C17" s="1"/>
  <c r="I22" i="3"/>
  <c r="B33" s="1"/>
  <c r="C33" s="1"/>
  <c r="B38" s="1"/>
  <c r="B46" s="1"/>
  <c r="I28"/>
  <c r="M28"/>
  <c r="C58" i="9"/>
  <c r="G58" s="1"/>
  <c r="O28" i="3"/>
  <c r="B49" s="1"/>
  <c r="C60" i="9"/>
  <c r="J20" i="3"/>
  <c r="K20" s="1"/>
  <c r="L20" s="1"/>
  <c r="J63"/>
  <c r="K63" s="1"/>
  <c r="L63" s="1"/>
  <c r="L26"/>
  <c r="N26"/>
  <c r="N27"/>
  <c r="L27"/>
  <c r="J29"/>
  <c r="K28"/>
  <c r="D159" i="26" l="1"/>
  <c r="D157"/>
  <c r="D155"/>
  <c r="D153"/>
  <c r="D151"/>
  <c r="D149"/>
  <c r="D147"/>
  <c r="D145"/>
  <c r="D143"/>
  <c r="D141"/>
  <c r="D139"/>
  <c r="E159"/>
  <c r="E157"/>
  <c r="E155"/>
  <c r="E153"/>
  <c r="E151"/>
  <c r="E149"/>
  <c r="E147"/>
  <c r="E145"/>
  <c r="E143"/>
  <c r="E141"/>
  <c r="E139"/>
  <c r="D160"/>
  <c r="D158"/>
  <c r="D156"/>
  <c r="D154"/>
  <c r="D152"/>
  <c r="D150"/>
  <c r="D148"/>
  <c r="D146"/>
  <c r="D144"/>
  <c r="D142"/>
  <c r="D140"/>
  <c r="E160"/>
  <c r="E158"/>
  <c r="E156"/>
  <c r="E154"/>
  <c r="E152"/>
  <c r="E150"/>
  <c r="E148"/>
  <c r="E146"/>
  <c r="E144"/>
  <c r="E142"/>
  <c r="E140"/>
  <c r="I45"/>
  <c r="J42"/>
  <c r="K42"/>
  <c r="I44"/>
  <c r="J41"/>
  <c r="K41"/>
  <c r="E35" i="25"/>
  <c r="D35"/>
  <c r="A36"/>
  <c r="C35"/>
  <c r="B35"/>
  <c r="A38" i="23"/>
  <c r="B37"/>
  <c r="D36"/>
  <c r="F36" s="1"/>
  <c r="H36" s="1"/>
  <c r="C36"/>
  <c r="E36" s="1"/>
  <c r="G36" s="1"/>
  <c r="E65" i="22"/>
  <c r="F65"/>
  <c r="K16"/>
  <c r="F16"/>
  <c r="I16" s="1"/>
  <c r="E16"/>
  <c r="C66"/>
  <c r="B67"/>
  <c r="B18"/>
  <c r="C17"/>
  <c r="W68" i="18"/>
  <c r="W69"/>
  <c r="W66"/>
  <c r="W67"/>
  <c r="D67" i="8"/>
  <c r="C67"/>
  <c r="B89"/>
  <c r="A74" i="18"/>
  <c r="B74" s="1"/>
  <c r="C92" i="8"/>
  <c r="D92"/>
  <c r="D66"/>
  <c r="B88"/>
  <c r="C66"/>
  <c r="B48" i="18"/>
  <c r="C48" s="1"/>
  <c r="H48"/>
  <c r="I48" s="1"/>
  <c r="N48" s="1"/>
  <c r="D48"/>
  <c r="I45" i="15"/>
  <c r="I42"/>
  <c r="I44"/>
  <c r="F83" i="8"/>
  <c r="E83"/>
  <c r="D83"/>
  <c r="C83"/>
  <c r="C91"/>
  <c r="D91"/>
  <c r="L48" i="18"/>
  <c r="M48" s="1"/>
  <c r="O48"/>
  <c r="P48" s="1"/>
  <c r="Q48" s="1"/>
  <c r="R48" s="1"/>
  <c r="J21"/>
  <c r="K21" s="1"/>
  <c r="L21" s="1"/>
  <c r="J20"/>
  <c r="K20" s="1"/>
  <c r="L20" s="1"/>
  <c r="A50"/>
  <c r="F49"/>
  <c r="G49" s="1"/>
  <c r="H49"/>
  <c r="I49" s="1"/>
  <c r="N49" s="1"/>
  <c r="D49"/>
  <c r="B49"/>
  <c r="C49" s="1"/>
  <c r="J22"/>
  <c r="K22" s="1"/>
  <c r="L22" s="1"/>
  <c r="J7" i="7"/>
  <c r="J6"/>
  <c r="J8"/>
  <c r="J5"/>
  <c r="B19" i="5"/>
  <c r="B20" s="1"/>
  <c r="B21" s="1"/>
  <c r="B47" i="3"/>
  <c r="B51" s="1"/>
  <c r="C51" s="1"/>
  <c r="B34" i="5" s="1"/>
  <c r="N28" i="3"/>
  <c r="L28"/>
  <c r="I48" i="26" l="1"/>
  <c r="J45"/>
  <c r="K45"/>
  <c r="I47"/>
  <c r="J44"/>
  <c r="K44"/>
  <c r="E36" i="25"/>
  <c r="D36"/>
  <c r="A37"/>
  <c r="C36"/>
  <c r="B36"/>
  <c r="A39" i="23"/>
  <c r="B38"/>
  <c r="D37"/>
  <c r="F37" s="1"/>
  <c r="H37" s="1"/>
  <c r="C37"/>
  <c r="E37" s="1"/>
  <c r="G37" s="1"/>
  <c r="E66" i="22"/>
  <c r="F66"/>
  <c r="K17"/>
  <c r="F17"/>
  <c r="I17" s="1"/>
  <c r="E17"/>
  <c r="B68"/>
  <c r="C67"/>
  <c r="B19"/>
  <c r="C18"/>
  <c r="W71" i="18"/>
  <c r="C88" i="8"/>
  <c r="D88"/>
  <c r="A75" i="18"/>
  <c r="B75" s="1"/>
  <c r="D89" i="8"/>
  <c r="C89"/>
  <c r="L49" i="18"/>
  <c r="M49" s="1"/>
  <c r="O49"/>
  <c r="P49" s="1"/>
  <c r="Q49" s="1"/>
  <c r="R49" s="1"/>
  <c r="F50"/>
  <c r="G50" s="1"/>
  <c r="A51"/>
  <c r="B50"/>
  <c r="C50" s="1"/>
  <c r="H50"/>
  <c r="I50" s="1"/>
  <c r="N50" s="1"/>
  <c r="D50"/>
  <c r="J48" i="26" l="1"/>
  <c r="K48"/>
  <c r="J47"/>
  <c r="K47"/>
  <c r="D37" i="25"/>
  <c r="A38"/>
  <c r="E37"/>
  <c r="C37"/>
  <c r="B37"/>
  <c r="A40" i="23"/>
  <c r="B39"/>
  <c r="C38"/>
  <c r="E38" s="1"/>
  <c r="G38" s="1"/>
  <c r="D38"/>
  <c r="F38" s="1"/>
  <c r="H38" s="1"/>
  <c r="K18" i="22"/>
  <c r="F18"/>
  <c r="I18" s="1"/>
  <c r="E18"/>
  <c r="F67"/>
  <c r="E67"/>
  <c r="C68"/>
  <c r="B69"/>
  <c r="B20"/>
  <c r="C19"/>
  <c r="A76" i="18"/>
  <c r="B76" s="1"/>
  <c r="L50"/>
  <c r="M50" s="1"/>
  <c r="O50"/>
  <c r="P50" s="1"/>
  <c r="Q50" s="1"/>
  <c r="R50" s="1"/>
  <c r="A52"/>
  <c r="F51"/>
  <c r="G51" s="1"/>
  <c r="B51"/>
  <c r="C51" s="1"/>
  <c r="H51"/>
  <c r="I51" s="1"/>
  <c r="N51" s="1"/>
  <c r="D51"/>
  <c r="A39" i="25" l="1"/>
  <c r="E38"/>
  <c r="D38"/>
  <c r="C38"/>
  <c r="B38"/>
  <c r="A41" i="23"/>
  <c r="B40"/>
  <c r="C39"/>
  <c r="E39" s="1"/>
  <c r="G39" s="1"/>
  <c r="D39"/>
  <c r="F39" s="1"/>
  <c r="H39" s="1"/>
  <c r="F68" i="22"/>
  <c r="E68"/>
  <c r="F19"/>
  <c r="I19" s="1"/>
  <c r="E19"/>
  <c r="K19"/>
  <c r="B70"/>
  <c r="C69"/>
  <c r="B21"/>
  <c r="C20"/>
  <c r="A77" i="18"/>
  <c r="B77" s="1"/>
  <c r="L51"/>
  <c r="M51" s="1"/>
  <c r="O51"/>
  <c r="P51" s="1"/>
  <c r="Q51" s="1"/>
  <c r="R51" s="1"/>
  <c r="A53"/>
  <c r="F52"/>
  <c r="G52" s="1"/>
  <c r="D52"/>
  <c r="H52"/>
  <c r="I52" s="1"/>
  <c r="N52" s="1"/>
  <c r="B52"/>
  <c r="C52" s="1"/>
  <c r="A40" i="25" l="1"/>
  <c r="E39"/>
  <c r="D39"/>
  <c r="B39"/>
  <c r="C39"/>
  <c r="A42" i="23"/>
  <c r="B41"/>
  <c r="D40"/>
  <c r="F40" s="1"/>
  <c r="H40" s="1"/>
  <c r="C40"/>
  <c r="E40" s="1"/>
  <c r="G40" s="1"/>
  <c r="K20" i="22"/>
  <c r="F20"/>
  <c r="I20" s="1"/>
  <c r="E20"/>
  <c r="F69"/>
  <c r="E69"/>
  <c r="B71"/>
  <c r="C70"/>
  <c r="B22"/>
  <c r="C21"/>
  <c r="A78" i="18"/>
  <c r="B78" s="1"/>
  <c r="L52"/>
  <c r="M52" s="1"/>
  <c r="O52"/>
  <c r="P52" s="1"/>
  <c r="Q52" s="1"/>
  <c r="R52" s="1"/>
  <c r="A54"/>
  <c r="F53"/>
  <c r="G53" s="1"/>
  <c r="H53"/>
  <c r="I53" s="1"/>
  <c r="N53" s="1"/>
  <c r="D53"/>
  <c r="B53"/>
  <c r="C53" s="1"/>
  <c r="E40" i="25" l="1"/>
  <c r="D40"/>
  <c r="A41"/>
  <c r="C40"/>
  <c r="B40"/>
  <c r="A43" i="23"/>
  <c r="B42"/>
  <c r="D41"/>
  <c r="F41" s="1"/>
  <c r="H41" s="1"/>
  <c r="C41"/>
  <c r="E41" s="1"/>
  <c r="G41" s="1"/>
  <c r="K21" i="22"/>
  <c r="F21"/>
  <c r="I21" s="1"/>
  <c r="E21"/>
  <c r="E70"/>
  <c r="F70"/>
  <c r="C71"/>
  <c r="B72"/>
  <c r="B23"/>
  <c r="C22"/>
  <c r="A79" i="18"/>
  <c r="B79" s="1"/>
  <c r="L53"/>
  <c r="M53" s="1"/>
  <c r="O53"/>
  <c r="P53" s="1"/>
  <c r="Q53" s="1"/>
  <c r="R53" s="1"/>
  <c r="F54"/>
  <c r="G54" s="1"/>
  <c r="A55"/>
  <c r="D54"/>
  <c r="B54"/>
  <c r="C54" s="1"/>
  <c r="H54"/>
  <c r="I54" s="1"/>
  <c r="N54" s="1"/>
  <c r="D41" i="25" l="1"/>
  <c r="E41"/>
  <c r="C41"/>
  <c r="B41"/>
  <c r="A44" i="23"/>
  <c r="B43"/>
  <c r="C42"/>
  <c r="E42" s="1"/>
  <c r="G42" s="1"/>
  <c r="D42"/>
  <c r="F42" s="1"/>
  <c r="H42" s="1"/>
  <c r="K22" i="22"/>
  <c r="F22"/>
  <c r="I22" s="1"/>
  <c r="E22"/>
  <c r="E71"/>
  <c r="F71"/>
  <c r="C72"/>
  <c r="B73"/>
  <c r="B24"/>
  <c r="C23"/>
  <c r="A80" i="18"/>
  <c r="B80" s="1"/>
  <c r="L54"/>
  <c r="M54" s="1"/>
  <c r="O54"/>
  <c r="P54" s="1"/>
  <c r="Q54" s="1"/>
  <c r="R54" s="1"/>
  <c r="A56"/>
  <c r="F55"/>
  <c r="G55" s="1"/>
  <c r="B55"/>
  <c r="C55" s="1"/>
  <c r="H55"/>
  <c r="I55" s="1"/>
  <c r="N55" s="1"/>
  <c r="D55"/>
  <c r="B44" i="23" l="1"/>
  <c r="C43"/>
  <c r="E43" s="1"/>
  <c r="G43" s="1"/>
  <c r="D43"/>
  <c r="F43" s="1"/>
  <c r="H43" s="1"/>
  <c r="F23" i="22"/>
  <c r="I23" s="1"/>
  <c r="E23"/>
  <c r="K23"/>
  <c r="E72"/>
  <c r="F72"/>
  <c r="B74"/>
  <c r="C73"/>
  <c r="B25"/>
  <c r="C24"/>
  <c r="A81" i="18"/>
  <c r="B81" s="1"/>
  <c r="L55"/>
  <c r="M55" s="1"/>
  <c r="O55"/>
  <c r="P55" s="1"/>
  <c r="Q55" s="1"/>
  <c r="R55" s="1"/>
  <c r="A57"/>
  <c r="F56"/>
  <c r="G56" s="1"/>
  <c r="B56"/>
  <c r="C56" s="1"/>
  <c r="D56"/>
  <c r="H56"/>
  <c r="I56" s="1"/>
  <c r="N56" s="1"/>
  <c r="D44" i="23" l="1"/>
  <c r="F44" s="1"/>
  <c r="H44" s="1"/>
  <c r="C44"/>
  <c r="E44" s="1"/>
  <c r="G44" s="1"/>
  <c r="K24" i="22"/>
  <c r="F24"/>
  <c r="I24" s="1"/>
  <c r="E24"/>
  <c r="F73"/>
  <c r="E73"/>
  <c r="B75"/>
  <c r="C74"/>
  <c r="B26"/>
  <c r="C25"/>
  <c r="A82" i="18"/>
  <c r="B82" s="1"/>
  <c r="L56"/>
  <c r="M56" s="1"/>
  <c r="O56"/>
  <c r="P56" s="1"/>
  <c r="Q56" s="1"/>
  <c r="R56" s="1"/>
  <c r="A58"/>
  <c r="F57"/>
  <c r="G57" s="1"/>
  <c r="D57"/>
  <c r="B57"/>
  <c r="C57" s="1"/>
  <c r="H57"/>
  <c r="I57" s="1"/>
  <c r="N57" s="1"/>
  <c r="F25" i="22" l="1"/>
  <c r="E25"/>
  <c r="F74"/>
  <c r="E74"/>
  <c r="B76"/>
  <c r="C75"/>
  <c r="B27"/>
  <c r="C26"/>
  <c r="A83" i="18"/>
  <c r="B83" s="1"/>
  <c r="L57"/>
  <c r="M57" s="1"/>
  <c r="O57"/>
  <c r="P57" s="1"/>
  <c r="Q57" s="1"/>
  <c r="R57" s="1"/>
  <c r="F58"/>
  <c r="G58" s="1"/>
  <c r="A59"/>
  <c r="B58"/>
  <c r="C58" s="1"/>
  <c r="H58"/>
  <c r="I58" s="1"/>
  <c r="N58" s="1"/>
  <c r="D58"/>
  <c r="F75" i="22" l="1"/>
  <c r="E75"/>
  <c r="F26"/>
  <c r="E26"/>
  <c r="C76"/>
  <c r="B77"/>
  <c r="B28"/>
  <c r="C27"/>
  <c r="A84" i="18"/>
  <c r="B84" s="1"/>
  <c r="L58"/>
  <c r="M58" s="1"/>
  <c r="O58"/>
  <c r="P58" s="1"/>
  <c r="Q58" s="1"/>
  <c r="R58" s="1"/>
  <c r="A60"/>
  <c r="F59"/>
  <c r="G59" s="1"/>
  <c r="H59"/>
  <c r="I59" s="1"/>
  <c r="N59" s="1"/>
  <c r="D59"/>
  <c r="B59"/>
  <c r="C59" s="1"/>
  <c r="E76" i="22" l="1"/>
  <c r="F76"/>
  <c r="F27"/>
  <c r="E27"/>
  <c r="C77"/>
  <c r="B78"/>
  <c r="B29"/>
  <c r="C28"/>
  <c r="A85" i="18"/>
  <c r="B85" s="1"/>
  <c r="L59"/>
  <c r="M59" s="1"/>
  <c r="O59"/>
  <c r="P59" s="1"/>
  <c r="Q59" s="1"/>
  <c r="R59" s="1"/>
  <c r="A61"/>
  <c r="F60"/>
  <c r="G60" s="1"/>
  <c r="D60"/>
  <c r="H60"/>
  <c r="I60" s="1"/>
  <c r="N60" s="1"/>
  <c r="B60"/>
  <c r="C60" s="1"/>
  <c r="F77" i="22" l="1"/>
  <c r="E77"/>
  <c r="F28"/>
  <c r="E28"/>
  <c r="B79"/>
  <c r="C78"/>
  <c r="B30"/>
  <c r="C29"/>
  <c r="A86" i="18"/>
  <c r="B86" s="1"/>
  <c r="L60"/>
  <c r="M60" s="1"/>
  <c r="O60"/>
  <c r="P60" s="1"/>
  <c r="Q60" s="1"/>
  <c r="R60" s="1"/>
  <c r="A62"/>
  <c r="F61"/>
  <c r="G61" s="1"/>
  <c r="B61"/>
  <c r="C61" s="1"/>
  <c r="H61"/>
  <c r="I61" s="1"/>
  <c r="N61" s="1"/>
  <c r="D61"/>
  <c r="F78" i="22" l="1"/>
  <c r="E78"/>
  <c r="F29"/>
  <c r="E29"/>
  <c r="C79"/>
  <c r="B80"/>
  <c r="B31"/>
  <c r="C30"/>
  <c r="A87" i="18"/>
  <c r="B87" s="1"/>
  <c r="L61"/>
  <c r="M61" s="1"/>
  <c r="O61"/>
  <c r="P61" s="1"/>
  <c r="Q61" s="1"/>
  <c r="R61" s="1"/>
  <c r="F62"/>
  <c r="G62" s="1"/>
  <c r="A63"/>
  <c r="B62"/>
  <c r="C62" s="1"/>
  <c r="H62"/>
  <c r="I62" s="1"/>
  <c r="N62" s="1"/>
  <c r="D62"/>
  <c r="F79" i="22" l="1"/>
  <c r="E79"/>
  <c r="F30"/>
  <c r="E30"/>
  <c r="B32"/>
  <c r="C31"/>
  <c r="B81"/>
  <c r="C80"/>
  <c r="A88" i="18"/>
  <c r="B88" s="1"/>
  <c r="L62"/>
  <c r="M62" s="1"/>
  <c r="O62"/>
  <c r="P62" s="1"/>
  <c r="Q62" s="1"/>
  <c r="R62" s="1"/>
  <c r="F63"/>
  <c r="G63" s="1"/>
  <c r="B63"/>
  <c r="C63" s="1"/>
  <c r="D63"/>
  <c r="H63"/>
  <c r="I63" s="1"/>
  <c r="N63" s="1"/>
  <c r="F31" i="22" l="1"/>
  <c r="E31"/>
  <c r="F80"/>
  <c r="E80"/>
  <c r="B33"/>
  <c r="C32"/>
  <c r="B82"/>
  <c r="C81"/>
  <c r="A89" i="18"/>
  <c r="B89" s="1"/>
  <c r="L63"/>
  <c r="M63" s="1"/>
  <c r="O63"/>
  <c r="P63" s="1"/>
  <c r="Q63" s="1"/>
  <c r="R63" s="1"/>
  <c r="F32" i="22" l="1"/>
  <c r="E32"/>
  <c r="E81"/>
  <c r="F81"/>
  <c r="B34"/>
  <c r="C33"/>
  <c r="B83"/>
  <c r="C82"/>
  <c r="A90" i="18"/>
  <c r="B90" s="1"/>
  <c r="F33" i="22" l="1"/>
  <c r="E33"/>
  <c r="E82"/>
  <c r="F82"/>
  <c r="B35"/>
  <c r="C34"/>
  <c r="B84"/>
  <c r="C83"/>
  <c r="A91" i="18"/>
  <c r="B91" s="1"/>
  <c r="F34" i="22" l="1"/>
  <c r="E34"/>
  <c r="F83"/>
  <c r="E83"/>
  <c r="B36"/>
  <c r="C35"/>
  <c r="C84"/>
  <c r="B85"/>
  <c r="A92" i="18"/>
  <c r="B92" s="1"/>
  <c r="F35" i="22" l="1"/>
  <c r="E35"/>
  <c r="F84"/>
  <c r="E84"/>
  <c r="B37"/>
  <c r="C36"/>
  <c r="B86"/>
  <c r="C85"/>
  <c r="A93" i="18"/>
  <c r="B93" s="1"/>
  <c r="F36" i="22" l="1"/>
  <c r="E36"/>
  <c r="F85"/>
  <c r="E85"/>
  <c r="B38"/>
  <c r="C37"/>
  <c r="B87"/>
  <c r="C86"/>
  <c r="A94" i="18"/>
  <c r="B94" s="1"/>
  <c r="F37" i="22" l="1"/>
  <c r="E37"/>
  <c r="E86"/>
  <c r="F86"/>
  <c r="B39"/>
  <c r="C38"/>
  <c r="B88"/>
  <c r="C87"/>
  <c r="A95" i="18"/>
  <c r="B95" s="1"/>
  <c r="F38" i="22" l="1"/>
  <c r="E38"/>
  <c r="E87"/>
  <c r="F87"/>
  <c r="C88"/>
  <c r="B89"/>
  <c r="B40"/>
  <c r="C39"/>
  <c r="A96" i="18"/>
  <c r="B96" s="1"/>
  <c r="E88" i="22" l="1"/>
  <c r="F88"/>
  <c r="F39"/>
  <c r="E39"/>
  <c r="B90"/>
  <c r="C89"/>
  <c r="B41"/>
  <c r="C40"/>
  <c r="A97" i="18"/>
  <c r="B97" s="1"/>
  <c r="F89" i="22" l="1"/>
  <c r="E89"/>
  <c r="F40"/>
  <c r="E40"/>
  <c r="B91"/>
  <c r="C90"/>
  <c r="B42"/>
  <c r="C41"/>
  <c r="A98" i="18"/>
  <c r="B98" s="1"/>
  <c r="F90" i="22" l="1"/>
  <c r="E90"/>
  <c r="F41"/>
  <c r="E41"/>
  <c r="C91"/>
  <c r="B92"/>
  <c r="B43"/>
  <c r="C42"/>
  <c r="A99" i="18"/>
  <c r="B99" s="1"/>
  <c r="F91" i="22" l="1"/>
  <c r="E91"/>
  <c r="F42"/>
  <c r="E42"/>
  <c r="C92"/>
  <c r="B93"/>
  <c r="B44"/>
  <c r="C43"/>
  <c r="A100" i="18"/>
  <c r="B100" s="1"/>
  <c r="E92" i="22" l="1"/>
  <c r="F92"/>
  <c r="F43"/>
  <c r="E43"/>
  <c r="B94"/>
  <c r="C93"/>
  <c r="B45"/>
  <c r="C44"/>
  <c r="A101" i="18"/>
  <c r="B101" s="1"/>
  <c r="F93" i="22" l="1"/>
  <c r="E93"/>
  <c r="F44"/>
  <c r="E44"/>
  <c r="B95"/>
  <c r="C94"/>
  <c r="B46"/>
  <c r="C45"/>
  <c r="A102" i="18"/>
  <c r="B102" s="1"/>
  <c r="F94" i="22" l="1"/>
  <c r="E94"/>
  <c r="F45"/>
  <c r="E45"/>
  <c r="C95"/>
  <c r="B96"/>
  <c r="B47"/>
  <c r="C46"/>
  <c r="A103" i="18"/>
  <c r="B103" s="1"/>
  <c r="F95" i="22" l="1"/>
  <c r="E95"/>
  <c r="F46"/>
  <c r="E46"/>
  <c r="B48"/>
  <c r="C47"/>
  <c r="C96"/>
  <c r="B97"/>
  <c r="A104" i="18"/>
  <c r="B104" s="1"/>
  <c r="F96" i="22" l="1"/>
  <c r="E96"/>
  <c r="F47"/>
  <c r="E47"/>
  <c r="B49"/>
  <c r="C48"/>
  <c r="B98"/>
  <c r="C97"/>
  <c r="A105" i="18"/>
  <c r="B105" s="1"/>
  <c r="F48" i="22" l="1"/>
  <c r="E48"/>
  <c r="E97"/>
  <c r="F97"/>
  <c r="B99"/>
  <c r="C98"/>
  <c r="B50"/>
  <c r="C49"/>
  <c r="A106" i="18"/>
  <c r="B106" s="1"/>
  <c r="E98" i="22" l="1"/>
  <c r="F98"/>
  <c r="F49"/>
  <c r="E49"/>
  <c r="C99"/>
  <c r="B100"/>
  <c r="B51"/>
  <c r="C50"/>
  <c r="A107" i="18"/>
  <c r="B107" s="1"/>
  <c r="F99" i="22" l="1"/>
  <c r="E99"/>
  <c r="F50"/>
  <c r="E50"/>
  <c r="B52"/>
  <c r="C51"/>
  <c r="C100"/>
  <c r="B101"/>
  <c r="A108" i="18"/>
  <c r="B108" s="1"/>
  <c r="F100" i="22" l="1"/>
  <c r="E100"/>
  <c r="F51"/>
  <c r="E51"/>
  <c r="B53"/>
  <c r="C52"/>
  <c r="B102"/>
  <c r="C101"/>
  <c r="A109" i="18"/>
  <c r="F52" i="22" l="1"/>
  <c r="E52"/>
  <c r="F101"/>
  <c r="E101"/>
  <c r="C102"/>
  <c r="B103"/>
  <c r="B54"/>
  <c r="C53"/>
  <c r="B110" i="18"/>
  <c r="B109"/>
  <c r="E102" i="22" l="1"/>
  <c r="F102"/>
  <c r="F53"/>
  <c r="E53"/>
  <c r="B55"/>
  <c r="C54"/>
  <c r="C103"/>
  <c r="B104"/>
  <c r="F54" l="1"/>
  <c r="E54"/>
  <c r="E103"/>
  <c r="F103"/>
  <c r="B56"/>
  <c r="C55"/>
  <c r="C104"/>
  <c r="B105"/>
  <c r="F55" l="1"/>
  <c r="E55"/>
  <c r="E104"/>
  <c r="F104"/>
  <c r="B57"/>
  <c r="C56"/>
  <c r="B106"/>
  <c r="C105"/>
  <c r="F56" l="1"/>
  <c r="E56"/>
  <c r="F105"/>
  <c r="E105"/>
  <c r="B107"/>
  <c r="C106"/>
  <c r="B58"/>
  <c r="C57"/>
  <c r="F106" l="1"/>
  <c r="E106"/>
  <c r="F57"/>
  <c r="E57"/>
  <c r="C107"/>
  <c r="B108"/>
  <c r="B59"/>
  <c r="C58"/>
  <c r="F107" l="1"/>
  <c r="E107"/>
  <c r="F58"/>
  <c r="E58"/>
  <c r="C108"/>
  <c r="B109"/>
  <c r="B60"/>
  <c r="C59"/>
  <c r="E108" l="1"/>
  <c r="F108"/>
  <c r="F59"/>
  <c r="E59"/>
  <c r="B110"/>
  <c r="C109"/>
  <c r="B61"/>
  <c r="C61" s="1"/>
  <c r="C60"/>
  <c r="F61" l="1"/>
  <c r="E61"/>
  <c r="F109"/>
  <c r="E109"/>
  <c r="F60"/>
  <c r="E60"/>
  <c r="B111"/>
  <c r="C111" s="1"/>
  <c r="C110"/>
  <c r="F111" l="1"/>
  <c r="E111"/>
  <c r="F110"/>
  <c r="E110"/>
</calcChain>
</file>

<file path=xl/sharedStrings.xml><?xml version="1.0" encoding="utf-8"?>
<sst xmlns="http://schemas.openxmlformats.org/spreadsheetml/2006/main" count="949" uniqueCount="716">
  <si>
    <t>Kapton (which one?)</t>
  </si>
  <si>
    <t>Lead</t>
  </si>
  <si>
    <t>copper</t>
  </si>
  <si>
    <t>fiber optic ?</t>
  </si>
  <si>
    <t>carbon fiber rod (bolts)</t>
  </si>
  <si>
    <t>epoxy (to bond Rohacel)</t>
  </si>
  <si>
    <t>O-ring material?</t>
  </si>
  <si>
    <t>Polyethylene (cathode spacers)</t>
  </si>
  <si>
    <r>
      <t>density (g/cm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</si>
  <si>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G10/FR-4 (glass cloth/epoxy)</t>
  </si>
  <si>
    <t>carbon fiber /epoxy sheet (adjacent ground plane)</t>
  </si>
  <si>
    <t>water absorption (%) (equilibrium 98%RH)</t>
  </si>
  <si>
    <t>water absorption (%) (equilibrium15%RH)</t>
  </si>
  <si>
    <t>water absorption (%) (equilibrium 30%RH)</t>
  </si>
  <si>
    <t>water absorption (%) (equilibrium 50%RH)</t>
  </si>
  <si>
    <t>water absorption (%) (equilibrium 65%RH)</t>
  </si>
  <si>
    <t>expansion immersed %</t>
  </si>
  <si>
    <t>elongation at break %</t>
  </si>
  <si>
    <t>Modulus of Elasticity (GPa)</t>
  </si>
  <si>
    <t>Flexural yield strength (MPa)</t>
  </si>
  <si>
    <t>Compressive strength (MPa)</t>
  </si>
  <si>
    <t>Shear Modulus (GPa)</t>
  </si>
  <si>
    <t>Shear strength (MPa)</t>
  </si>
  <si>
    <r>
      <t>linear expansion @20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 (M/M-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</si>
  <si>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max temp in air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</si>
  <si>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t>bulk modulus (GPa)</t>
  </si>
  <si>
    <t>Poissons ratio</t>
  </si>
  <si>
    <t>Emissivity (0-1)</t>
  </si>
  <si>
    <t>tensile ultimate (MPa)-annealed where app</t>
  </si>
  <si>
    <t>tensile yield (MPa)-annealed where app</t>
  </si>
  <si>
    <t>aluminum 6061</t>
  </si>
  <si>
    <t>tungsten (gold plated) 20 micron-drawn wire</t>
  </si>
  <si>
    <t>water absorption immersed %</t>
  </si>
  <si>
    <t>Fluorinert</t>
  </si>
  <si>
    <r>
      <t>Thermal diffusivity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/sec)</t>
    </r>
  </si>
  <si>
    <t>aluminum 3003-h14</t>
  </si>
  <si>
    <t>fatigue strength (MPa)</t>
  </si>
  <si>
    <t>water</t>
  </si>
  <si>
    <t>alcohol</t>
  </si>
  <si>
    <t>wire frame cards</t>
  </si>
  <si>
    <t>cathode frame cards</t>
  </si>
  <si>
    <t>sections per segment</t>
  </si>
  <si>
    <t>total segments</t>
  </si>
  <si>
    <t>total FDC power</t>
  </si>
  <si>
    <t>cooling one segment with a single circumferential loop</t>
  </si>
  <si>
    <t>Denatured Alcohol</t>
  </si>
  <si>
    <t>transfer media</t>
  </si>
  <si>
    <r>
      <t>assumed delta T(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</si>
  <si>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Cp (J/g-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</si>
  <si>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volume flux (cm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/sec)</t>
    </r>
  </si>
  <si>
    <t>assumed min.Reynolds no</t>
  </si>
  <si>
    <r>
      <t xml:space="preserve">dynamic viscosity </t>
    </r>
    <r>
      <rPr>
        <b/>
        <sz val="14"/>
        <rFont val="Arial"/>
        <family val="2"/>
      </rPr>
      <t>μ</t>
    </r>
    <r>
      <rPr>
        <sz val="10"/>
        <rFont val="Arial"/>
        <family val="2"/>
      </rPr>
      <t xml:space="preserve"> (Pascal*second)</t>
    </r>
  </si>
  <si>
    <t>required max tube ID to assure turbulent flow (mm)</t>
  </si>
  <si>
    <t>assumed maximum tube length (M)</t>
  </si>
  <si>
    <r>
      <t xml:space="preserve">fanning friction factor </t>
    </r>
    <r>
      <rPr>
        <b/>
        <i/>
        <sz val="16"/>
        <rFont val="Arial"/>
        <family val="2"/>
      </rPr>
      <t>f</t>
    </r>
    <r>
      <rPr>
        <b/>
        <vertAlign val="subscript"/>
        <sz val="16"/>
        <rFont val="Arial"/>
        <family val="2"/>
      </rPr>
      <t xml:space="preserve">cp </t>
    </r>
    <r>
      <rPr>
        <sz val="10"/>
        <rFont val="Arial"/>
        <family val="2"/>
      </rPr>
      <t>(smooth tube)</t>
    </r>
  </si>
  <si>
    <t>Prandtl number</t>
  </si>
  <si>
    <r>
      <t xml:space="preserve">dynamic viscosity </t>
    </r>
    <r>
      <rPr>
        <b/>
        <sz val="14"/>
        <rFont val="Arial"/>
        <family val="2"/>
      </rPr>
      <t>μ</t>
    </r>
    <r>
      <rPr>
        <sz val="10"/>
        <rFont val="Arial"/>
        <family val="2"/>
      </rPr>
      <t xml:space="preserve"> (Pascal second) @ 20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</t>
    </r>
  </si>
  <si>
    <r>
      <t xml:space="preserve">kinematic viscosity </t>
    </r>
    <r>
      <rPr>
        <b/>
        <sz val="16"/>
        <rFont val="Arial"/>
        <family val="2"/>
      </rPr>
      <t>۷</t>
    </r>
    <r>
      <rPr>
        <sz val="10"/>
        <rFont val="Arial"/>
        <family val="2"/>
      </rPr>
      <t xml:space="preserve"> 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/sec) @ 20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</t>
    </r>
  </si>
  <si>
    <t xml:space="preserve">water </t>
  </si>
  <si>
    <r>
      <t xml:space="preserve">specific heat capacity </t>
    </r>
    <r>
      <rPr>
        <b/>
        <sz val="14"/>
        <rFont val="Arial"/>
        <family val="2"/>
      </rPr>
      <t>C</t>
    </r>
    <r>
      <rPr>
        <b/>
        <vertAlign val="subscript"/>
        <sz val="14"/>
        <rFont val="Arial"/>
        <family val="2"/>
      </rPr>
      <t>p</t>
    </r>
    <r>
      <rPr>
        <sz val="10"/>
        <rFont val="Arial"/>
        <family val="2"/>
      </rPr>
      <t xml:space="preserve"> (J/g-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</si>
  <si>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 xml:space="preserve">Thermal conductivity </t>
    </r>
    <r>
      <rPr>
        <b/>
        <sz val="10"/>
        <rFont val="Arial"/>
        <family val="2"/>
      </rPr>
      <t>K</t>
    </r>
    <r>
      <rPr>
        <sz val="10"/>
        <rFont val="Arial"/>
        <family val="2"/>
      </rPr>
      <t xml:space="preserve">  (W/M-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K)</t>
    </r>
  </si>
  <si>
    <r>
      <t xml:space="preserve">Prandtl number </t>
    </r>
    <r>
      <rPr>
        <b/>
        <sz val="14"/>
        <rFont val="Arial"/>
        <family val="2"/>
      </rPr>
      <t>Pr</t>
    </r>
  </si>
  <si>
    <t>pressure drop/length (Pascal/meter)</t>
  </si>
  <si>
    <r>
      <t xml:space="preserve">bulk stream velocity </t>
    </r>
    <r>
      <rPr>
        <b/>
        <sz val="12"/>
        <rFont val="Arial"/>
        <family val="2"/>
      </rPr>
      <t>U</t>
    </r>
    <r>
      <rPr>
        <sz val="10"/>
        <rFont val="Arial"/>
        <family val="2"/>
      </rPr>
      <t xml:space="preserve"> (M/sec)</t>
    </r>
  </si>
  <si>
    <t>psi/foot</t>
  </si>
  <si>
    <r>
      <t xml:space="preserve">watts per segment </t>
    </r>
    <r>
      <rPr>
        <b/>
        <i/>
        <sz val="16"/>
        <rFont val="Arial"/>
        <family val="2"/>
      </rPr>
      <t>q</t>
    </r>
  </si>
  <si>
    <r>
      <t xml:space="preserve">density </t>
    </r>
    <r>
      <rPr>
        <b/>
        <i/>
        <sz val="14"/>
        <rFont val="Arial"/>
        <family val="2"/>
      </rPr>
      <t>ρ</t>
    </r>
    <r>
      <rPr>
        <sz val="10"/>
        <rFont val="Arial"/>
        <family val="2"/>
      </rPr>
      <t xml:space="preserve">  (g/cm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</si>
  <si>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 xml:space="preserve">thermal conductivity </t>
    </r>
    <r>
      <rPr>
        <b/>
        <sz val="12"/>
        <rFont val="Arial"/>
        <family val="2"/>
      </rPr>
      <t>K</t>
    </r>
    <r>
      <rPr>
        <sz val="10"/>
        <rFont val="Arial"/>
        <family val="2"/>
      </rPr>
      <t xml:space="preserve"> (watt/M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K)</t>
    </r>
  </si>
  <si>
    <t>mass flux/card (g/sec)</t>
  </si>
  <si>
    <t>power card(Watts)</t>
  </si>
  <si>
    <t>&lt;&lt;&lt;note a smaller tube can be used with a nozzle</t>
  </si>
  <si>
    <r>
      <t>air @20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C </t>
    </r>
    <r>
      <rPr>
        <b/>
        <u/>
        <sz val="10"/>
        <rFont val="Arial"/>
        <family val="2"/>
      </rPr>
      <t>cooling one card assuming the same temperature change</t>
    </r>
  </si>
  <si>
    <r>
      <t xml:space="preserve">to compare two fluids, the ratio of the pressure drops given a specified q, </t>
    </r>
    <r>
      <rPr>
        <sz val="10"/>
        <rFont val="Arial"/>
        <family val="2"/>
      </rPr>
      <t>Δ</t>
    </r>
    <r>
      <rPr>
        <sz val="10"/>
        <rFont val="Arial"/>
        <family val="2"/>
      </rPr>
      <t>T and Re:</t>
    </r>
  </si>
  <si>
    <t>pressure drop/length=</t>
  </si>
  <si>
    <r>
      <t xml:space="preserve">Nusselt number (HFD and TFD, turbulent) </t>
    </r>
    <r>
      <rPr>
        <b/>
        <sz val="12"/>
        <rFont val="Arial"/>
        <family val="2"/>
      </rPr>
      <t>Nu</t>
    </r>
  </si>
  <si>
    <r>
      <t xml:space="preserve">assumed length of conductor section </t>
    </r>
    <r>
      <rPr>
        <b/>
        <sz val="12"/>
        <rFont val="Arial"/>
        <family val="2"/>
      </rPr>
      <t>L</t>
    </r>
    <r>
      <rPr>
        <sz val="10"/>
        <rFont val="Arial"/>
        <family val="2"/>
      </rPr>
      <t>(mm)</t>
    </r>
  </si>
  <si>
    <t>specified  tube ID (mm)</t>
  </si>
  <si>
    <t>polyurethane tubing  okay.</t>
  </si>
  <si>
    <t>resultant mass flux  (g/sec)</t>
  </si>
  <si>
    <t>heat capacity (watts)</t>
  </si>
  <si>
    <t>number of cards</t>
  </si>
  <si>
    <t>equation 6-39:</t>
  </si>
  <si>
    <t>integrated over L:</t>
  </si>
  <si>
    <t>The table below driven by the diameter, velocity and mass flux are outputs</t>
  </si>
  <si>
    <r>
      <t>correction for thermally developing</t>
    </r>
    <r>
      <rPr>
        <b/>
        <sz val="10"/>
        <rFont val="Arial"/>
        <family val="2"/>
      </rPr>
      <t xml:space="preserve"> </t>
    </r>
    <r>
      <rPr>
        <b/>
        <sz val="11"/>
        <rFont val="Arial"/>
        <family val="2"/>
      </rPr>
      <t>Nu</t>
    </r>
    <r>
      <rPr>
        <b/>
        <vertAlign val="subscript"/>
        <sz val="11"/>
        <rFont val="Arial"/>
        <family val="2"/>
      </rPr>
      <t>average</t>
    </r>
  </si>
  <si>
    <t>thermal epoxy</t>
  </si>
  <si>
    <t>thermal grease</t>
  </si>
  <si>
    <r>
      <t>heat tranfer coeff h (watt/M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K)</t>
    </r>
  </si>
  <si>
    <t>&lt; material choice- note: use a supply header (larger tube) to reduce pressure drop.</t>
  </si>
  <si>
    <t>thickness thermal epoxy layer (mm)</t>
  </si>
  <si>
    <r>
      <t>epoxy conduction area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</si>
  <si>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Δ</t>
    </r>
    <r>
      <rPr>
        <sz val="10"/>
        <rFont val="Arial"/>
        <family val="2"/>
      </rPr>
      <t>T epoxy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</si>
  <si>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approx conduction area alum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</si>
  <si>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conduction path length (M)</t>
  </si>
  <si>
    <r>
      <t>ΔT aluminum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</si>
  <si>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ΔT convection fluorinert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</si>
  <si>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convection surface area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</si>
  <si>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ΔT total (</t>
    </r>
    <r>
      <rPr>
        <b/>
        <vertAlign val="superscript"/>
        <sz val="14"/>
        <rFont val="Arial"/>
        <family val="2"/>
      </rPr>
      <t>o</t>
    </r>
    <r>
      <rPr>
        <b/>
        <sz val="14"/>
        <rFont val="Arial"/>
        <family val="2"/>
      </rPr>
      <t>C)</t>
    </r>
  </si>
  <si>
    <r>
      <t>fluorinert temperature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</si>
  <si>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copper bracket temp (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C)</t>
    </r>
  </si>
  <si>
    <t>density (g/cm3)</t>
  </si>
  <si>
    <t>required mass flux per cell  (g/sec)</t>
  </si>
  <si>
    <t>cards per cell</t>
  </si>
  <si>
    <t>watts per cell</t>
  </si>
  <si>
    <t>The table below is for one liquid line per cell-connected to header line near rails</t>
  </si>
  <si>
    <t>&lt;&lt;&lt;&lt;&lt;increase tube diam to 1.76mm minimum!</t>
  </si>
  <si>
    <t>number of wires</t>
  </si>
  <si>
    <t>awg</t>
  </si>
  <si>
    <t>wire dia (mm)</t>
  </si>
  <si>
    <t>wire dia (inch)</t>
  </si>
  <si>
    <t>assumed path length (mm)</t>
  </si>
  <si>
    <t>power (watts/card)</t>
  </si>
  <si>
    <t>one tube per cell</t>
  </si>
  <si>
    <t>mass around one full segment:</t>
  </si>
  <si>
    <t>length  tube (mm)</t>
  </si>
  <si>
    <t>pressure drop around loop (psi)</t>
  </si>
  <si>
    <t>cooing loop length around drift cell (M)</t>
  </si>
  <si>
    <t>type: 1 wide by .030 thick</t>
  </si>
  <si>
    <r>
      <t xml:space="preserve">total temperature drop 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</t>
    </r>
  </si>
  <si>
    <r>
      <t>total area (mm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</si>
  <si>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wire area (mm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</si>
  <si>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&lt;&lt;&lt;&lt;&lt;Too high!</t>
  </si>
  <si>
    <t>cards per segment</t>
  </si>
  <si>
    <t>weight/segment (pounds)</t>
  </si>
  <si>
    <t xml:space="preserve">mass in Monte-Carlo model- cylinder </t>
  </si>
  <si>
    <t>volume (cm3)</t>
  </si>
  <si>
    <t>mass of straps(kg)</t>
  </si>
  <si>
    <t>mass per strap (g)</t>
  </si>
  <si>
    <t>weight/length (pounds/1000feet)</t>
  </si>
  <si>
    <t>&lt;&lt;&lt;&lt;&lt;&lt;&lt;&lt;does not agree&gt;&gt;&gt;&gt;</t>
  </si>
  <si>
    <t>card temp oC</t>
  </si>
  <si>
    <t>coolant temp (oC)</t>
  </si>
  <si>
    <t>coolant loop length (2 loops- M)</t>
  </si>
  <si>
    <t>assumed tube i.d. (mm)</t>
  </si>
  <si>
    <t>&lt;&lt;ft/sec fluorinert</t>
  </si>
  <si>
    <r>
      <t>ΔT around loop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</si>
  <si>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t>tube I.D. (mm)</t>
  </si>
  <si>
    <t>tube O.D. (mm)</t>
  </si>
  <si>
    <t>pounds/foot</t>
  </si>
  <si>
    <t>mass of single loop (kg)</t>
  </si>
  <si>
    <t>mass of one side of cooling clamp (g)</t>
  </si>
  <si>
    <t>difference in mass of bracket with ledge to no ledge (g)</t>
  </si>
  <si>
    <t>mass of six tube loops (kg)</t>
  </si>
  <si>
    <t>mass straps (kg)</t>
  </si>
  <si>
    <t>assumed tube o.d. (mm)</t>
  </si>
  <si>
    <t>mass of tubes (kg)</t>
  </si>
  <si>
    <t>&lt;&lt;does not include any hardware, or increased size of Fernando's bracket to assist attachment of strap</t>
  </si>
  <si>
    <r>
      <t xml:space="preserve">card temperature with 6 loops 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F</t>
    </r>
  </si>
  <si>
    <r>
      <t xml:space="preserve">degrees </t>
    </r>
    <r>
      <rPr>
        <vertAlign val="superscript"/>
        <sz val="12"/>
        <rFont val="Arial"/>
        <family val="2"/>
      </rPr>
      <t>o</t>
    </r>
    <r>
      <rPr>
        <sz val="12"/>
        <rFont val="Arial"/>
        <family val="2"/>
      </rPr>
      <t>F</t>
    </r>
  </si>
  <si>
    <t>lytrons recommendation for max water velocity (ft/sec)</t>
  </si>
  <si>
    <t>lytrons scaling law for fluorinert max velocity (ft/sec)</t>
  </si>
  <si>
    <t>mass fluorinert in tubes (kg)</t>
  </si>
  <si>
    <t>total mass tubes and straps (kg) and Fluorinert</t>
  </si>
  <si>
    <t>mass of fluorinert in one loop (kg)</t>
  </si>
  <si>
    <t>mass total: bracket difference+ clamp halves+tubes+fluorinert</t>
  </si>
  <si>
    <t>thermal contact area to tube (mm2)</t>
  </si>
  <si>
    <t>approximate wall temp tube</t>
  </si>
  <si>
    <r>
      <t xml:space="preserve">card temp with straps 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F</t>
    </r>
  </si>
  <si>
    <t>&lt;&lt;&lt; assumes no heat loss to air-not actual case</t>
  </si>
  <si>
    <t>mass using 6 cooling loops(kg)</t>
  </si>
  <si>
    <t>buckling of long tubular column:</t>
  </si>
  <si>
    <r>
      <t xml:space="preserve">Area moment of Inertia </t>
    </r>
    <r>
      <rPr>
        <sz val="12"/>
        <rFont val="Bodoni MT Black"/>
        <family val="1"/>
      </rPr>
      <t>I</t>
    </r>
    <r>
      <rPr>
        <sz val="10"/>
        <rFont val="Arial"/>
        <family val="2"/>
      </rPr>
      <t xml:space="preserve"> (M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>)</t>
    </r>
  </si>
  <si>
    <r>
      <t xml:space="preserve">end condition constant </t>
    </r>
    <r>
      <rPr>
        <b/>
        <sz val="12"/>
        <rFont val="Arial"/>
        <family val="2"/>
      </rPr>
      <t>C</t>
    </r>
  </si>
  <si>
    <r>
      <t xml:space="preserve">cross sectional area </t>
    </r>
    <r>
      <rPr>
        <b/>
        <sz val="12"/>
        <rFont val="Arial"/>
        <family val="2"/>
      </rPr>
      <t>A</t>
    </r>
    <r>
      <rPr>
        <sz val="10"/>
        <rFont val="Arial"/>
        <family val="2"/>
      </rPr>
      <t xml:space="preserve">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</si>
  <si>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 xml:space="preserve">youngs modulus </t>
    </r>
    <r>
      <rPr>
        <b/>
        <sz val="12"/>
        <rFont val="Arial"/>
        <family val="2"/>
      </rPr>
      <t>E</t>
    </r>
    <r>
      <rPr>
        <sz val="10"/>
        <rFont val="Arial"/>
        <family val="2"/>
      </rPr>
      <t xml:space="preserve"> (pascals)</t>
    </r>
  </si>
  <si>
    <r>
      <t xml:space="preserve">tube length </t>
    </r>
    <r>
      <rPr>
        <b/>
        <sz val="12"/>
        <rFont val="Arial"/>
        <family val="2"/>
      </rPr>
      <t>L</t>
    </r>
    <r>
      <rPr>
        <sz val="10"/>
        <rFont val="Arial"/>
        <family val="2"/>
      </rPr>
      <t xml:space="preserve"> (M)</t>
    </r>
  </si>
  <si>
    <r>
      <t xml:space="preserve">tube I.D.  </t>
    </r>
    <r>
      <rPr>
        <b/>
        <sz val="12"/>
        <rFont val="Arial"/>
        <family val="2"/>
      </rPr>
      <t>D</t>
    </r>
    <r>
      <rPr>
        <b/>
        <vertAlign val="subscript"/>
        <sz val="12"/>
        <rFont val="Arial"/>
        <family val="2"/>
      </rPr>
      <t>i</t>
    </r>
    <r>
      <rPr>
        <sz val="10"/>
        <rFont val="Arial"/>
        <family val="2"/>
      </rPr>
      <t xml:space="preserve"> (M)</t>
    </r>
  </si>
  <si>
    <r>
      <t xml:space="preserve">tube O.D. </t>
    </r>
    <r>
      <rPr>
        <b/>
        <sz val="12"/>
        <rFont val="Arial"/>
        <family val="2"/>
      </rPr>
      <t>D</t>
    </r>
    <r>
      <rPr>
        <b/>
        <vertAlign val="subscript"/>
        <sz val="12"/>
        <rFont val="Arial"/>
        <family val="2"/>
      </rPr>
      <t>o</t>
    </r>
    <r>
      <rPr>
        <sz val="10"/>
        <rFont val="Arial"/>
        <family val="2"/>
      </rPr>
      <t xml:space="preserve"> (M)</t>
    </r>
  </si>
  <si>
    <t>critical buckling stress (pascals)</t>
  </si>
  <si>
    <r>
      <t>density of carbon fiber (g/cm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</si>
  <si>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psi</t>
  </si>
  <si>
    <t>buckling load (newtons)</t>
  </si>
  <si>
    <t>tensile yield stress (pascals)</t>
  </si>
  <si>
    <t>ultimate tensile load (n)</t>
  </si>
  <si>
    <t>compressive yield (pascals)</t>
  </si>
  <si>
    <t>compressive design force limit (n)</t>
  </si>
  <si>
    <t>pounds</t>
  </si>
  <si>
    <t>epoxy shear strength (psi)</t>
  </si>
  <si>
    <t>epoxy tensile strength (psi)</t>
  </si>
  <si>
    <t>cathode board offset (degrees)</t>
  </si>
  <si>
    <t>wireboad angles (clockwise)</t>
  </si>
  <si>
    <t>x</t>
  </si>
  <si>
    <t>y</t>
  </si>
  <si>
    <t>wireboard1</t>
  </si>
  <si>
    <t>rails</t>
  </si>
  <si>
    <t xml:space="preserve">cathode board </t>
  </si>
  <si>
    <t>cathode behind wireboard(+75)</t>
  </si>
  <si>
    <t>r wire board 1</t>
  </si>
  <si>
    <t>r cathode 1</t>
  </si>
  <si>
    <t>r mirr cath 1</t>
  </si>
  <si>
    <t>r wire board 2</t>
  </si>
  <si>
    <t>r cathode 2</t>
  </si>
  <si>
    <t>cathode in front (mirror and -75)</t>
  </si>
  <si>
    <t>r mirr cath 2</t>
  </si>
  <si>
    <t>r wire board 3</t>
  </si>
  <si>
    <t>r cathode 3</t>
  </si>
  <si>
    <t>r mirr cath 3</t>
  </si>
  <si>
    <t>wireboard2</t>
  </si>
  <si>
    <t>cathode behind2 (+75)</t>
  </si>
  <si>
    <t>cathode2 in front (mirror and -75)</t>
  </si>
  <si>
    <t>wireboard3</t>
  </si>
  <si>
    <t>cathode3 behind (+75)</t>
  </si>
  <si>
    <t>cathode3 in front (mirror and -75)</t>
  </si>
  <si>
    <t>G10 flexure modulus (Gpa)</t>
  </si>
  <si>
    <t>Low density Rohacel mod (Gpa)</t>
  </si>
  <si>
    <t>use equivalent width technique from Roark pg 117 to find equiv width Rohacel</t>
  </si>
  <si>
    <t>width section (Meters)</t>
  </si>
  <si>
    <t>equivalent width Rohacel (M)</t>
  </si>
  <si>
    <t>thickness G10 (M)</t>
  </si>
  <si>
    <t>thickness Rohacel (M)</t>
  </si>
  <si>
    <r>
      <t>Moment of Inertia for G10 at its centroid (M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>)</t>
    </r>
  </si>
  <si>
    <r>
      <t>cross section area for the layer of Rohacel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</si>
  <si>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cross section area for a layer of G10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</si>
  <si>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distance from beam centroid to G10 layer centroid (M)</t>
  </si>
  <si>
    <r>
      <t>Moment of Inertia for one layer of G10 at beam centroid (M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>)</t>
    </r>
  </si>
  <si>
    <r>
      <t>equivalent moment of inertia for Rohacel (M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>)</t>
    </r>
  </si>
  <si>
    <r>
      <t>total moment of inertia for beam (M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>)</t>
    </r>
  </si>
  <si>
    <r>
      <t>EI term (N*Meter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</si>
  <si>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force per linear inch exerted by o-ring (pounds/inch)</t>
  </si>
  <si>
    <t>durometer o-ring</t>
  </si>
  <si>
    <t>50 shore A</t>
  </si>
  <si>
    <t>angular spacing of bolts (degrees)</t>
  </si>
  <si>
    <t>number of screws</t>
  </si>
  <si>
    <t>o-ring cross section diam (inch)</t>
  </si>
  <si>
    <t>o-ring groove diameter (meter)</t>
  </si>
  <si>
    <t>circumference of o-ring (m)</t>
  </si>
  <si>
    <t>force per bolt (newtons)</t>
  </si>
  <si>
    <t>pounds per bolt</t>
  </si>
  <si>
    <r>
      <t xml:space="preserve">force </t>
    </r>
    <r>
      <rPr>
        <b/>
        <i/>
        <sz val="14"/>
        <rFont val="Arial"/>
        <family val="2"/>
      </rPr>
      <t>w</t>
    </r>
    <r>
      <rPr>
        <sz val="10"/>
        <rFont val="Arial"/>
        <family val="2"/>
      </rPr>
      <t xml:space="preserve"> units newtons/meter</t>
    </r>
  </si>
  <si>
    <t>&lt;&lt;&lt;from picture above</t>
  </si>
  <si>
    <r>
      <t xml:space="preserve">span distance between bolts </t>
    </r>
    <r>
      <rPr>
        <b/>
        <sz val="14"/>
        <rFont val="Arial"/>
        <family val="2"/>
      </rPr>
      <t>L</t>
    </r>
    <r>
      <rPr>
        <sz val="10"/>
        <rFont val="Arial"/>
        <family val="2"/>
      </rPr>
      <t xml:space="preserve"> (M)</t>
    </r>
  </si>
  <si>
    <t>maximum deflection in middle of the span (mm)</t>
  </si>
  <si>
    <t>deflection (inches)</t>
  </si>
  <si>
    <t>&lt;&lt;&lt;roark page 103, case 2d</t>
  </si>
  <si>
    <r>
      <t xml:space="preserve">distance to top of G10 skin </t>
    </r>
    <r>
      <rPr>
        <b/>
        <sz val="14"/>
        <rFont val="Arial"/>
        <family val="2"/>
      </rPr>
      <t>y</t>
    </r>
    <r>
      <rPr>
        <sz val="10"/>
        <rFont val="Arial"/>
        <family val="2"/>
      </rPr>
      <t xml:space="preserve"> (M)</t>
    </r>
  </si>
  <si>
    <r>
      <t xml:space="preserve">maximum bending moment </t>
    </r>
    <r>
      <rPr>
        <b/>
        <sz val="14"/>
        <rFont val="Arial"/>
        <family val="2"/>
      </rPr>
      <t>M</t>
    </r>
    <r>
      <rPr>
        <sz val="10"/>
        <rFont val="Arial"/>
        <family val="2"/>
      </rPr>
      <t xml:space="preserve"> (NM)</t>
    </r>
  </si>
  <si>
    <t>maximum tensile stress in G10 skin (MPa)</t>
  </si>
  <si>
    <t>maximum shear force V(x) in beam (newtons)</t>
  </si>
  <si>
    <t>maximum shear stress in epoxy (Mpa)</t>
  </si>
  <si>
    <t>compression %</t>
  </si>
  <si>
    <t>o-ring compression (inch)</t>
  </si>
  <si>
    <t>&lt;&lt;&lt;&lt;&lt;outer cathodes will need either a reinforcment piece or thicker rohacel</t>
  </si>
  <si>
    <r>
      <t xml:space="preserve">Inner radius </t>
    </r>
    <r>
      <rPr>
        <b/>
        <sz val="16"/>
        <rFont val="Arial"/>
        <family val="2"/>
      </rPr>
      <t>b</t>
    </r>
    <r>
      <rPr>
        <sz val="10"/>
        <rFont val="Arial"/>
        <family val="2"/>
      </rPr>
      <t xml:space="preserve"> Rohacel (M)</t>
    </r>
  </si>
  <si>
    <r>
      <t xml:space="preserve">Outside radius </t>
    </r>
    <r>
      <rPr>
        <b/>
        <sz val="16"/>
        <rFont val="Arial"/>
        <family val="2"/>
      </rPr>
      <t>a</t>
    </r>
    <r>
      <rPr>
        <sz val="10"/>
        <rFont val="Arial"/>
        <family val="2"/>
      </rPr>
      <t xml:space="preserve"> of 2mm Rohacel (M)</t>
    </r>
  </si>
  <si>
    <r>
      <t xml:space="preserve">pressure differential </t>
    </r>
    <r>
      <rPr>
        <b/>
        <sz val="16"/>
        <rFont val="Arial"/>
        <family val="2"/>
      </rPr>
      <t>q</t>
    </r>
    <r>
      <rPr>
        <sz val="10"/>
        <rFont val="Arial"/>
        <family val="2"/>
      </rPr>
      <t xml:space="preserve"> (N/M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</si>
  <si>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total force on surface (N)</t>
  </si>
  <si>
    <r>
      <t>density of mineral oil (grams/cm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</si>
  <si>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bubble jar depth (cm)</t>
  </si>
  <si>
    <r>
      <t>dry air @ 20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 and atm pressure</t>
    </r>
  </si>
  <si>
    <r>
      <t>CO2 @20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 atm pres</t>
    </r>
  </si>
  <si>
    <r>
      <t>Argon @20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 atm pres</t>
    </r>
  </si>
  <si>
    <t>&lt;&lt;&lt;&gt;&gt;&gt;note:gas is heavier than air- 2M elevation change=11.6 Pascals, so should be at center of chamber for bubble jar</t>
  </si>
  <si>
    <t>K1</t>
  </si>
  <si>
    <t>K2</t>
  </si>
  <si>
    <t>K3</t>
  </si>
  <si>
    <t>K4</t>
  </si>
  <si>
    <t>equation1 page 477, left side of equation</t>
  </si>
  <si>
    <r>
      <t xml:space="preserve">seed value for </t>
    </r>
    <r>
      <rPr>
        <b/>
        <sz val="16"/>
        <rFont val="Arial"/>
        <family val="2"/>
      </rPr>
      <t>y</t>
    </r>
    <r>
      <rPr>
        <b/>
        <vertAlign val="subscript"/>
        <sz val="16"/>
        <rFont val="Arial"/>
        <family val="2"/>
      </rPr>
      <t>c</t>
    </r>
    <r>
      <rPr>
        <sz val="10"/>
        <rFont val="Arial"/>
        <family val="2"/>
      </rPr>
      <t xml:space="preserve"> (M)</t>
    </r>
  </si>
  <si>
    <r>
      <t xml:space="preserve">thickness </t>
    </r>
    <r>
      <rPr>
        <b/>
        <sz val="16"/>
        <rFont val="Arial"/>
        <family val="2"/>
      </rPr>
      <t>t</t>
    </r>
    <r>
      <rPr>
        <b/>
        <vertAlign val="subscript"/>
        <sz val="16"/>
        <rFont val="Arial"/>
        <family val="2"/>
      </rPr>
      <t>r</t>
    </r>
    <r>
      <rPr>
        <sz val="10"/>
        <rFont val="Arial"/>
        <family val="2"/>
      </rPr>
      <t xml:space="preserve"> of Rohacel (M)</t>
    </r>
  </si>
  <si>
    <r>
      <t xml:space="preserve">poissons ratio Rohacel </t>
    </r>
    <r>
      <rPr>
        <b/>
        <i/>
        <sz val="16"/>
        <rFont val="Arial"/>
        <family val="2"/>
      </rPr>
      <t>v</t>
    </r>
    <r>
      <rPr>
        <b/>
        <i/>
        <vertAlign val="subscript"/>
        <sz val="16"/>
        <rFont val="Arial"/>
        <family val="2"/>
      </rPr>
      <t>r</t>
    </r>
  </si>
  <si>
    <r>
      <t xml:space="preserve">plate constant Rohacel </t>
    </r>
    <r>
      <rPr>
        <b/>
        <sz val="16"/>
        <rFont val="Arial"/>
        <family val="2"/>
      </rPr>
      <t>D</t>
    </r>
    <r>
      <rPr>
        <b/>
        <vertAlign val="subscript"/>
        <sz val="16"/>
        <rFont val="Arial"/>
        <family val="2"/>
      </rPr>
      <t>r</t>
    </r>
    <r>
      <rPr>
        <sz val="10"/>
        <rFont val="Arial"/>
        <family val="2"/>
      </rPr>
      <t xml:space="preserve"> (Roark page 398)-units=newton*meter</t>
    </r>
  </si>
  <si>
    <t>analyze as if b= zero: case 10a in Roark, bending forces only, no membrane contribution- neglect Kapton</t>
  </si>
  <si>
    <r>
      <t xml:space="preserve">deflection at center </t>
    </r>
    <r>
      <rPr>
        <b/>
        <sz val="16"/>
        <rFont val="Arial"/>
        <family val="2"/>
      </rPr>
      <t>y</t>
    </r>
    <r>
      <rPr>
        <b/>
        <vertAlign val="subscript"/>
        <sz val="16"/>
        <rFont val="Arial"/>
        <family val="2"/>
      </rPr>
      <t>c</t>
    </r>
    <r>
      <rPr>
        <sz val="10"/>
        <rFont val="Arial"/>
        <family val="2"/>
      </rPr>
      <t xml:space="preserve"> (mm)- Rohacel</t>
    </r>
  </si>
  <si>
    <r>
      <t xml:space="preserve">Modulus </t>
    </r>
    <r>
      <rPr>
        <b/>
        <sz val="16"/>
        <rFont val="Arial"/>
        <family val="2"/>
      </rPr>
      <t>E</t>
    </r>
    <r>
      <rPr>
        <b/>
        <vertAlign val="subscript"/>
        <sz val="16"/>
        <rFont val="Arial"/>
        <family val="2"/>
      </rPr>
      <t>r</t>
    </r>
    <r>
      <rPr>
        <sz val="10"/>
        <rFont val="Arial"/>
        <family val="2"/>
      </rPr>
      <t xml:space="preserve"> (N/M2) Rohacel</t>
    </r>
  </si>
  <si>
    <r>
      <t xml:space="preserve">yield stress Rohacel </t>
    </r>
    <r>
      <rPr>
        <b/>
        <sz val="16"/>
        <rFont val="Arial"/>
        <family val="2"/>
      </rPr>
      <t>σ</t>
    </r>
    <r>
      <rPr>
        <b/>
        <vertAlign val="subscript"/>
        <sz val="16"/>
        <rFont val="Arial"/>
        <family val="2"/>
      </rPr>
      <t xml:space="preserve">r </t>
    </r>
    <r>
      <rPr>
        <sz val="11"/>
        <rFont val="Arial"/>
        <family val="2"/>
      </rPr>
      <t>(N/M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</si>
  <si>
    <r>
      <t xml:space="preserve">thickness </t>
    </r>
    <r>
      <rPr>
        <b/>
        <sz val="16"/>
        <rFont val="Arial"/>
        <family val="2"/>
      </rPr>
      <t>t</t>
    </r>
    <r>
      <rPr>
        <b/>
        <vertAlign val="subscript"/>
        <sz val="16"/>
        <rFont val="Arial"/>
        <family val="2"/>
      </rPr>
      <t>k</t>
    </r>
    <r>
      <rPr>
        <sz val="10"/>
        <rFont val="Arial"/>
        <family val="2"/>
      </rPr>
      <t xml:space="preserve"> of Kapton (M)</t>
    </r>
  </si>
  <si>
    <r>
      <t xml:space="preserve">poissons ratio Kapton </t>
    </r>
    <r>
      <rPr>
        <b/>
        <i/>
        <sz val="16"/>
        <rFont val="Arial"/>
        <family val="2"/>
      </rPr>
      <t>v</t>
    </r>
    <r>
      <rPr>
        <b/>
        <i/>
        <vertAlign val="subscript"/>
        <sz val="16"/>
        <rFont val="Arial"/>
        <family val="2"/>
      </rPr>
      <t>k</t>
    </r>
  </si>
  <si>
    <r>
      <t xml:space="preserve">Modulus </t>
    </r>
    <r>
      <rPr>
        <b/>
        <sz val="16"/>
        <rFont val="Arial"/>
        <family val="2"/>
      </rPr>
      <t>E</t>
    </r>
    <r>
      <rPr>
        <b/>
        <vertAlign val="subscript"/>
        <sz val="16"/>
        <rFont val="Arial"/>
        <family val="2"/>
      </rPr>
      <t>k</t>
    </r>
    <r>
      <rPr>
        <sz val="10"/>
        <rFont val="Arial"/>
        <family val="2"/>
      </rPr>
      <t xml:space="preserve"> (N/M2) Kapton</t>
    </r>
  </si>
  <si>
    <r>
      <t xml:space="preserve">yield stress Kapton </t>
    </r>
    <r>
      <rPr>
        <b/>
        <sz val="16"/>
        <rFont val="Arial"/>
        <family val="2"/>
      </rPr>
      <t>σ</t>
    </r>
    <r>
      <rPr>
        <b/>
        <vertAlign val="subscript"/>
        <sz val="16"/>
        <rFont val="Arial"/>
        <family val="2"/>
      </rPr>
      <t xml:space="preserve">k </t>
    </r>
    <r>
      <rPr>
        <sz val="11"/>
        <rFont val="Arial"/>
        <family val="2"/>
      </rPr>
      <t>(N/M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</si>
  <si>
    <t>&lt;&lt;wrong- indicates strong membrane forces</t>
  </si>
  <si>
    <t>analyze as if b= zero: case 10a in Roark,  membrane forces included case 6 pg 478- neglect Kapton</t>
  </si>
  <si>
    <t>analyze as if Kapton membrane only-neglect Rohacel: case 4 page 478</t>
  </si>
  <si>
    <r>
      <t xml:space="preserve">deflection at center Kapton </t>
    </r>
    <r>
      <rPr>
        <b/>
        <sz val="16"/>
        <rFont val="Arial"/>
        <family val="2"/>
      </rPr>
      <t>y</t>
    </r>
    <r>
      <rPr>
        <b/>
        <vertAlign val="subscript"/>
        <sz val="16"/>
        <rFont val="Arial"/>
        <family val="2"/>
      </rPr>
      <t>c</t>
    </r>
    <r>
      <rPr>
        <sz val="10"/>
        <rFont val="Arial"/>
        <family val="2"/>
      </rPr>
      <t xml:space="preserve"> (M)</t>
    </r>
  </si>
  <si>
    <t>Fluorinert FC-84</t>
  </si>
  <si>
    <t>inch</t>
  </si>
  <si>
    <t>Thermo-fisher chillier (MT25)</t>
  </si>
  <si>
    <t>&lt;&lt;&lt;bare bones unit</t>
  </si>
  <si>
    <t>cooling loops</t>
  </si>
  <si>
    <t>bracket type 1</t>
  </si>
  <si>
    <t>bracket type 2</t>
  </si>
  <si>
    <t>bracket type 3</t>
  </si>
  <si>
    <t>lower clamp segment</t>
  </si>
  <si>
    <t>qty</t>
  </si>
  <si>
    <t>cost</t>
  </si>
  <si>
    <t>skin tube O.D. (M)</t>
  </si>
  <si>
    <t>skin tube length (M)</t>
  </si>
  <si>
    <t>skin tube ID (M)</t>
  </si>
  <si>
    <t>cross sectional area (M2)</t>
  </si>
  <si>
    <t>skin mass (kg)</t>
  </si>
  <si>
    <t>threaded aluminum plug mass (kg)</t>
  </si>
  <si>
    <t>gusset ring volume (cm3)</t>
  </si>
  <si>
    <t>gusset ring mass (kg)</t>
  </si>
  <si>
    <t>small tube mass (kg)</t>
  </si>
  <si>
    <t>skin volume (M3)</t>
  </si>
  <si>
    <t>qty/spacer unit</t>
  </si>
  <si>
    <t>mass</t>
  </si>
  <si>
    <t>total spacer mass (kg)</t>
  </si>
  <si>
    <t>percent of total</t>
  </si>
  <si>
    <t>component</t>
  </si>
  <si>
    <t>mass per</t>
  </si>
  <si>
    <t>circumference (M)</t>
  </si>
  <si>
    <t>surface area (M2)</t>
  </si>
  <si>
    <t>&lt;&lt;per document 853</t>
  </si>
  <si>
    <t>mass of alum mesh(kg)</t>
  </si>
  <si>
    <r>
      <t>aluminum mesh area density (lbs/ft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</si>
  <si>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density (kg/M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</si>
  <si>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area of mesh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</si>
  <si>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Reynolds no.</t>
  </si>
  <si>
    <r>
      <rPr>
        <b/>
        <sz val="16"/>
        <rFont val="Arial"/>
        <family val="2"/>
      </rPr>
      <t>f</t>
    </r>
    <r>
      <rPr>
        <b/>
        <vertAlign val="subscript"/>
        <sz val="16"/>
        <rFont val="Arial"/>
        <family val="2"/>
      </rPr>
      <t>cp</t>
    </r>
  </si>
  <si>
    <t>spacer</t>
  </si>
  <si>
    <t>g10</t>
  </si>
  <si>
    <t>i.d.</t>
  </si>
  <si>
    <t>o.d.</t>
  </si>
  <si>
    <t>thickness</t>
  </si>
  <si>
    <t>Rohacell</t>
  </si>
  <si>
    <t>cathode</t>
  </si>
  <si>
    <t>large g10</t>
  </si>
  <si>
    <t>small g10</t>
  </si>
  <si>
    <t>sandwich rohacell</t>
  </si>
  <si>
    <t>backing rohacell</t>
  </si>
  <si>
    <t>wireboard</t>
  </si>
  <si>
    <t>low densithy Rohacel (which one? 3.2,4 thick)</t>
  </si>
  <si>
    <t>cooling bracket1</t>
  </si>
  <si>
    <t>cooling bracket2</t>
  </si>
  <si>
    <t>cooling bracket3</t>
  </si>
  <si>
    <t>clamp segment</t>
  </si>
  <si>
    <t>aluminum</t>
  </si>
  <si>
    <t>weight (kg)</t>
  </si>
  <si>
    <t>copper loop</t>
  </si>
  <si>
    <t>segmentl weight:</t>
  </si>
  <si>
    <t>FDC gas mixture properties</t>
  </si>
  <si>
    <t>volume fraction Argon</t>
  </si>
  <si>
    <t>volume fraction CO2</t>
  </si>
  <si>
    <r>
      <t>mixture temperature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K)</t>
    </r>
  </si>
  <si>
    <t>molar mass Argon (g/gmol)</t>
  </si>
  <si>
    <r>
      <t>molar mass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(g/gmol)</t>
    </r>
  </si>
  <si>
    <r>
      <t>ideal gas constant R (bar*M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/kgmol*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K)</t>
    </r>
  </si>
  <si>
    <r>
      <t xml:space="preserve">molar fraction Argon </t>
    </r>
    <r>
      <rPr>
        <b/>
        <sz val="12"/>
        <rFont val="Arial"/>
        <family val="2"/>
      </rPr>
      <t>X</t>
    </r>
    <r>
      <rPr>
        <b/>
        <vertAlign val="subscript"/>
        <sz val="12"/>
        <rFont val="Arial"/>
        <family val="2"/>
      </rPr>
      <t>ar</t>
    </r>
  </si>
  <si>
    <r>
      <t xml:space="preserve">molar fraction CO2  </t>
    </r>
    <r>
      <rPr>
        <b/>
        <sz val="10"/>
        <rFont val="Arial"/>
        <family val="2"/>
      </rPr>
      <t xml:space="preserve"> </t>
    </r>
    <r>
      <rPr>
        <b/>
        <sz val="14"/>
        <rFont val="Arial"/>
        <family val="2"/>
      </rPr>
      <t>X</t>
    </r>
    <r>
      <rPr>
        <b/>
        <vertAlign val="subscript"/>
        <sz val="14"/>
        <rFont val="Arial"/>
        <family val="2"/>
      </rPr>
      <t>co2</t>
    </r>
  </si>
  <si>
    <r>
      <t xml:space="preserve">dynamic viscosity mixture </t>
    </r>
    <r>
      <rPr>
        <b/>
        <sz val="14"/>
        <rFont val="Arial"/>
        <family val="2"/>
      </rPr>
      <t>μ</t>
    </r>
    <r>
      <rPr>
        <sz val="10"/>
        <rFont val="Arial"/>
        <family val="2"/>
      </rPr>
      <t xml:space="preserve"> (pascal second)</t>
    </r>
  </si>
  <si>
    <r>
      <t xml:space="preserve">density of mixture  </t>
    </r>
    <r>
      <rPr>
        <b/>
        <sz val="14"/>
        <rFont val="Arial"/>
        <family val="2"/>
      </rPr>
      <t>ρ</t>
    </r>
    <r>
      <rPr>
        <sz val="10"/>
        <rFont val="Arial"/>
        <family val="2"/>
      </rPr>
      <t xml:space="preserve"> (g/cm3)</t>
    </r>
  </si>
  <si>
    <r>
      <t xml:space="preserve">specific gas cons. </t>
    </r>
    <r>
      <rPr>
        <b/>
        <sz val="14"/>
        <rFont val="Arial"/>
        <family val="2"/>
      </rPr>
      <t>R</t>
    </r>
    <r>
      <rPr>
        <b/>
        <vertAlign val="subscript"/>
        <sz val="14"/>
        <rFont val="Arial"/>
        <family val="2"/>
      </rPr>
      <t>m</t>
    </r>
    <r>
      <rPr>
        <sz val="10"/>
        <rFont val="Arial"/>
        <family val="2"/>
      </rPr>
      <t xml:space="preserve"> (bar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/kg*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K)</t>
    </r>
  </si>
  <si>
    <r>
      <t>drift cell volume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</si>
  <si>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volume changes per day</t>
  </si>
  <si>
    <t>total volume consumed per cell</t>
  </si>
  <si>
    <t>length(M)</t>
  </si>
  <si>
    <t>weight/length (kg/M)</t>
  </si>
  <si>
    <t>preamp</t>
  </si>
  <si>
    <t>plastics</t>
  </si>
  <si>
    <t>large spacer tube</t>
  </si>
  <si>
    <t>aluminum threaded plg</t>
  </si>
  <si>
    <t>gusset ring sect1</t>
  </si>
  <si>
    <t>gusset ring sect2</t>
  </si>
  <si>
    <t>fiberglass</t>
  </si>
  <si>
    <t>fiberglass tubes</t>
  </si>
  <si>
    <t>&lt;&lt;&lt;total segment weight</t>
  </si>
  <si>
    <t>&lt;&lt;&lt;total spacer weight (there are 3)</t>
  </si>
  <si>
    <t>length of wires between segments (M)</t>
  </si>
  <si>
    <t>linear density amp cables (kg/M)</t>
  </si>
  <si>
    <t>linear density HV cables (kg/M)</t>
  </si>
  <si>
    <t>linear density LV cables (kg/M)</t>
  </si>
  <si>
    <t>qty per segment</t>
  </si>
  <si>
    <t>weight between segments(kg)</t>
  </si>
  <si>
    <t>&lt;&lt;&lt;total weight between segments due to a segment</t>
  </si>
  <si>
    <t>&lt;&lt;&lt;weight supported by a segment (half of above)</t>
  </si>
  <si>
    <t>weight of the upstream wire</t>
  </si>
  <si>
    <t>distance from segment 4 to upsteam solenoid face (M)</t>
  </si>
  <si>
    <t>total weight seen by segment 1 bearings (kg)</t>
  </si>
  <si>
    <t>total weight seen by segment 2 bearings (kg)</t>
  </si>
  <si>
    <t>total weight seen by segment 3 bearings (kg)</t>
  </si>
  <si>
    <t>total weight seen by segment 4 bearings (kg)</t>
  </si>
  <si>
    <t xml:space="preserve"> &lt;&lt;&lt;&lt; each bracket sees half this</t>
  </si>
  <si>
    <r>
      <t>aluminum bracket temp (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C)</t>
    </r>
  </si>
  <si>
    <t>reynolds number</t>
  </si>
  <si>
    <t>tube diameter (mm)</t>
  </si>
  <si>
    <t>laminar HFD distance (mm)</t>
  </si>
  <si>
    <t>laminar TFD distance (mm)</t>
  </si>
  <si>
    <t>table below is for water. Prandtl no=</t>
  </si>
  <si>
    <t>transitional flow</t>
  </si>
  <si>
    <t>laminar flow</t>
  </si>
  <si>
    <r>
      <t xml:space="preserve">laminar fanning friction factor </t>
    </r>
    <r>
      <rPr>
        <b/>
        <sz val="10"/>
        <rFont val="Arial"/>
        <family val="2"/>
      </rPr>
      <t>f</t>
    </r>
    <r>
      <rPr>
        <vertAlign val="subscript"/>
        <sz val="10"/>
        <rFont val="Arial"/>
        <family val="2"/>
      </rPr>
      <t>cp</t>
    </r>
  </si>
  <si>
    <t xml:space="preserve">TFD/HFD laminar Nusselt number </t>
  </si>
  <si>
    <t>HFD NOT TFD average Nusselt</t>
  </si>
  <si>
    <r>
      <t>thermal conductivity of water(W/M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K)</t>
    </r>
  </si>
  <si>
    <r>
      <t xml:space="preserve">HFD not TFD </t>
    </r>
    <r>
      <rPr>
        <b/>
        <sz val="14"/>
        <rFont val="Arial"/>
        <family val="2"/>
      </rPr>
      <t>h</t>
    </r>
    <r>
      <rPr>
        <sz val="10"/>
        <rFont val="Arial"/>
        <family val="2"/>
      </rPr>
      <t xml:space="preserve"> (W/M</t>
    </r>
    <r>
      <rPr>
        <vertAlign val="superscript"/>
        <sz val="10"/>
        <rFont val="Arial"/>
        <family val="2"/>
      </rPr>
      <t>2o</t>
    </r>
    <r>
      <rPr>
        <sz val="10"/>
        <rFont val="Arial"/>
        <family val="2"/>
      </rPr>
      <t>K)</t>
    </r>
  </si>
  <si>
    <r>
      <t xml:space="preserve">&lt;&lt;&lt;NOTE THAT BECAUSE TRANSFER ZONE IS ONLY 50MM LONG, FLOW IS </t>
    </r>
    <r>
      <rPr>
        <b/>
        <u/>
        <sz val="10"/>
        <rFont val="Arial"/>
        <family val="2"/>
      </rPr>
      <t>NOT TFD</t>
    </r>
  </si>
  <si>
    <t>mass flow(g/sec)</t>
  </si>
  <si>
    <r>
      <t>convective surface area (half circle)M</t>
    </r>
    <r>
      <rPr>
        <vertAlign val="superscript"/>
        <sz val="10"/>
        <rFont val="Arial"/>
        <family val="2"/>
      </rPr>
      <t>2</t>
    </r>
  </si>
  <si>
    <r>
      <t>T</t>
    </r>
    <r>
      <rPr>
        <vertAlign val="subscript"/>
        <sz val="10"/>
        <rFont val="Arial"/>
        <family val="2"/>
      </rPr>
      <t>out</t>
    </r>
    <r>
      <rPr>
        <sz val="10"/>
        <rFont val="Arial"/>
        <family val="2"/>
      </rPr>
      <t>-T</t>
    </r>
    <r>
      <rPr>
        <vertAlign val="subscript"/>
        <sz val="10"/>
        <rFont val="Arial"/>
        <family val="2"/>
      </rPr>
      <t>in</t>
    </r>
    <r>
      <rPr>
        <sz val="10"/>
        <rFont val="Arial"/>
        <family val="2"/>
      </rPr>
      <t xml:space="preserve">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</si>
  <si>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Cp water (J/g-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</si>
  <si>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T</t>
    </r>
    <r>
      <rPr>
        <vertAlign val="subscript"/>
        <sz val="10"/>
        <rFont val="Arial"/>
        <family val="2"/>
      </rPr>
      <t>out</t>
    </r>
    <r>
      <rPr>
        <sz val="10"/>
        <rFont val="Arial"/>
        <family val="2"/>
      </rPr>
      <t>-T</t>
    </r>
    <r>
      <rPr>
        <vertAlign val="subscript"/>
        <sz val="10"/>
        <rFont val="Arial"/>
        <family val="2"/>
      </rPr>
      <t>in</t>
    </r>
    <r>
      <rPr>
        <sz val="10"/>
        <rFont val="Arial"/>
        <family val="2"/>
      </rPr>
      <t xml:space="preserve">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C)/card</t>
    </r>
  </si>
  <si>
    <r>
      <t>T</t>
    </r>
    <r>
      <rPr>
        <vertAlign val="subscript"/>
        <sz val="10"/>
        <rFont val="Arial"/>
        <family val="2"/>
      </rPr>
      <t>bulk</t>
    </r>
    <r>
      <rPr>
        <sz val="10"/>
        <rFont val="Arial"/>
        <family val="2"/>
      </rPr>
      <t>-T</t>
    </r>
    <r>
      <rPr>
        <vertAlign val="subscript"/>
        <sz val="10"/>
        <rFont val="Arial"/>
        <family val="2"/>
      </rPr>
      <t>wall</t>
    </r>
    <r>
      <rPr>
        <sz val="10"/>
        <rFont val="Arial"/>
        <family val="2"/>
      </rPr>
      <t xml:space="preserve">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</si>
  <si>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t>&lt;&lt;&lt;&lt;operating point for test</t>
  </si>
  <si>
    <t>pressure drop around loop (Pa)</t>
  </si>
  <si>
    <r>
      <t>cell flow rate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/hour)</t>
    </r>
  </si>
  <si>
    <r>
      <t>flow rate for entire FDC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/hour)</t>
    </r>
  </si>
  <si>
    <t>&lt;&lt;&lt;&lt;close to Fluorinert</t>
  </si>
  <si>
    <t>flow rate (gpm)</t>
  </si>
  <si>
    <t>spacer ring data:</t>
  </si>
  <si>
    <t>o.d. ring</t>
  </si>
  <si>
    <t>i.d. ring</t>
  </si>
  <si>
    <t>i.d. oring groove</t>
  </si>
  <si>
    <t>o.d. oring groove</t>
  </si>
  <si>
    <t>bolt hole dia.</t>
  </si>
  <si>
    <t>compressive strength rohacell 31 IG(Pa)</t>
  </si>
  <si>
    <r>
      <t>compression area per bolt theor(M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</si>
  <si>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area required to support bolt load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</si>
  <si>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fraction of available area</t>
  </si>
  <si>
    <t>corresponding angle of load area (degrees)</t>
  </si>
  <si>
    <t>ACTUAL THERMAL RESULTS FROM WATER TEST:</t>
  </si>
  <si>
    <t>Voltage:</t>
  </si>
  <si>
    <t>amperage:</t>
  </si>
  <si>
    <t>power (watts)</t>
  </si>
  <si>
    <r>
      <t>flow (cm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/min)</t>
    </r>
  </si>
  <si>
    <r>
      <t>regulator b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</si>
  <si>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inlet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</si>
  <si>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heatsink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</si>
  <si>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outlet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</si>
  <si>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t>computed heat trans (w)</t>
  </si>
  <si>
    <t>PICTURE BELOW IS FROM PARKER O-RING BOOK, PAGE 2-11</t>
  </si>
  <si>
    <t>&lt;&lt;&lt;from parker 0-ring book table at 20% compression-WORST CASE</t>
  </si>
  <si>
    <t>O-ring groove depth (mm)=</t>
  </si>
  <si>
    <t>Beryllium-Copper (gold plated) 80 micron</t>
  </si>
  <si>
    <t>mineral oil</t>
  </si>
  <si>
    <t>ANALYSIS FOR HURRICANE INDUCED PRESSURE DROP.</t>
  </si>
  <si>
    <t>&lt;&lt;&lt;one standard atmosphere at sea level</t>
  </si>
  <si>
    <t>assumed beginning atmospheric pressure (Pa)</t>
  </si>
  <si>
    <r>
      <t xml:space="preserve">pressure differential </t>
    </r>
    <r>
      <rPr>
        <b/>
        <sz val="16"/>
        <rFont val="Arial"/>
        <family val="2"/>
      </rPr>
      <t>q</t>
    </r>
    <r>
      <rPr>
        <sz val="10"/>
        <rFont val="Arial"/>
        <family val="2"/>
      </rPr>
      <t xml:space="preserve"> (Pa)</t>
    </r>
  </si>
  <si>
    <t>membrane dia (M)</t>
  </si>
  <si>
    <t>spherical end theory</t>
  </si>
  <si>
    <t>pre-tension (N/m)</t>
  </si>
  <si>
    <t>spherical radius (M)</t>
  </si>
  <si>
    <t>theta (degrees)</t>
  </si>
  <si>
    <t>membrane radius(M)</t>
  </si>
  <si>
    <t>deflection (mm)</t>
  </si>
  <si>
    <r>
      <t>pressure differential across window</t>
    </r>
    <r>
      <rPr>
        <b/>
        <sz val="16"/>
        <rFont val="Arial"/>
        <family val="2"/>
      </rPr>
      <t xml:space="preserve"> P</t>
    </r>
    <r>
      <rPr>
        <sz val="10"/>
        <rFont val="Arial"/>
        <family val="2"/>
      </rPr>
      <t xml:space="preserve"> (N/M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</si>
  <si>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 xml:space="preserve">window radius </t>
    </r>
    <r>
      <rPr>
        <b/>
        <sz val="20"/>
        <rFont val="Arial"/>
        <family val="2"/>
      </rPr>
      <t>r</t>
    </r>
    <r>
      <rPr>
        <sz val="10"/>
        <rFont val="Arial"/>
        <family val="2"/>
      </rPr>
      <t xml:space="preserve"> (M)</t>
    </r>
  </si>
  <si>
    <t>&lt;&lt;&lt;&lt;input</t>
  </si>
  <si>
    <r>
      <t xml:space="preserve">pre-tension (N/m) </t>
    </r>
    <r>
      <rPr>
        <b/>
        <sz val="18"/>
        <rFont val="Arial"/>
        <family val="2"/>
      </rPr>
      <t>σ'</t>
    </r>
  </si>
  <si>
    <t>&lt;&lt;&lt;&lt; from Eugene-assume same as Kapton</t>
  </si>
  <si>
    <r>
      <rPr>
        <b/>
        <sz val="10"/>
        <rFont val="Arial"/>
        <family val="2"/>
      </rPr>
      <t>Assumption 1:</t>
    </r>
    <r>
      <rPr>
        <sz val="10"/>
        <rFont val="Arial"/>
        <family val="2"/>
      </rPr>
      <t xml:space="preserve"> deflected shape is spherical.</t>
    </r>
  </si>
  <si>
    <r>
      <rPr>
        <b/>
        <sz val="10"/>
        <rFont val="Arial"/>
        <family val="2"/>
      </rPr>
      <t>Assumption 2</t>
    </r>
    <r>
      <rPr>
        <sz val="10"/>
        <rFont val="Arial"/>
        <family val="2"/>
      </rPr>
      <t>: the pre-tension value does not change significantly when deformed.</t>
    </r>
  </si>
  <si>
    <r>
      <t xml:space="preserve">as the pressure induced stress everywhere in a sphere is the same, the dome cap stress at </t>
    </r>
    <r>
      <rPr>
        <sz val="18"/>
        <rFont val="Arial"/>
        <family val="2"/>
      </rPr>
      <t>A</t>
    </r>
    <r>
      <rPr>
        <sz val="10"/>
        <rFont val="Arial"/>
        <family val="2"/>
      </rPr>
      <t xml:space="preserve"> is the same as the pre-tension.</t>
    </r>
  </si>
  <si>
    <t>equations:</t>
  </si>
  <si>
    <t>rearranging:</t>
  </si>
  <si>
    <t>R (M)</t>
  </si>
  <si>
    <t>Ө (degrees)</t>
  </si>
  <si>
    <r>
      <t xml:space="preserve">deflection </t>
    </r>
    <r>
      <rPr>
        <b/>
        <sz val="18"/>
        <rFont val="Arial"/>
        <family val="2"/>
      </rPr>
      <t>H</t>
    </r>
    <r>
      <rPr>
        <sz val="10"/>
        <rFont val="Arial"/>
        <family val="2"/>
      </rPr>
      <t xml:space="preserve"> (mm)</t>
    </r>
  </si>
  <si>
    <t>Drift cell volume (cm3)</t>
  </si>
  <si>
    <t>drift cell ID (cm)</t>
  </si>
  <si>
    <t>drift cell thickness (including behind cathode area) cm</t>
  </si>
  <si>
    <t>max rate of change 300mb/hr</t>
  </si>
  <si>
    <t>density of mixture at standard</t>
  </si>
  <si>
    <t>mass of gas in cell initially (g)</t>
  </si>
  <si>
    <t>mixture differential pressure above atmospheric(mbar)</t>
  </si>
  <si>
    <t>assumed atmospheric abs. pressure</t>
  </si>
  <si>
    <t>mixture abs pressure  (mbar)</t>
  </si>
  <si>
    <t>&lt;&lt;&lt;negligle diff to atmospheric!</t>
  </si>
  <si>
    <t>molar mass of mixture(kg/kgmol)</t>
  </si>
  <si>
    <t>&lt;&lt;equals .3 bar/hr</t>
  </si>
  <si>
    <r>
      <t>density of mixture at standard (g/cm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ρ</t>
    </r>
    <r>
      <rPr>
        <b/>
        <vertAlign val="subscript"/>
        <sz val="18"/>
        <rFont val="Arial"/>
        <family val="2"/>
      </rPr>
      <t>initial</t>
    </r>
  </si>
  <si>
    <t>diameter of small holes (m)</t>
  </si>
  <si>
    <r>
      <t>area of small holes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</si>
  <si>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number of small holes</t>
  </si>
  <si>
    <t>total area (M2)</t>
  </si>
  <si>
    <r>
      <t>temperature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K)</t>
    </r>
  </si>
  <si>
    <r>
      <t xml:space="preserve">Drift cell volume </t>
    </r>
    <r>
      <rPr>
        <b/>
        <sz val="18"/>
        <rFont val="Arial"/>
        <family val="2"/>
      </rPr>
      <t>V</t>
    </r>
    <r>
      <rPr>
        <sz val="10"/>
        <rFont val="Arial"/>
        <family val="2"/>
      </rPr>
      <t xml:space="preserve"> (cm3)</t>
    </r>
  </si>
  <si>
    <t>Maximum rate of pressure change (bar/sec)</t>
  </si>
  <si>
    <r>
      <t xml:space="preserve">initial gas velocity </t>
    </r>
    <r>
      <rPr>
        <b/>
        <sz val="16"/>
        <rFont val="Arial"/>
        <family val="2"/>
      </rPr>
      <t>U</t>
    </r>
    <r>
      <rPr>
        <sz val="10"/>
        <rFont val="Arial"/>
        <family val="2"/>
      </rPr>
      <t xml:space="preserve"> (m/sec)</t>
    </r>
  </si>
  <si>
    <t>&lt;&lt;&lt;first cut at delta p neglecting discharge coefficient</t>
  </si>
  <si>
    <r>
      <t>ΔP spacer (N/m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</si>
  <si>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ΔP spacer (mbar)</t>
  </si>
  <si>
    <t>differential pressure for 1mm high bubble (per Eugene) mbar</t>
  </si>
  <si>
    <t>Reynolds number Re initial:</t>
  </si>
  <si>
    <r>
      <t xml:space="preserve">&lt;&lt;&lt;flow is </t>
    </r>
    <r>
      <rPr>
        <b/>
        <u/>
        <sz val="10"/>
        <rFont val="Arial"/>
        <family val="2"/>
      </rPr>
      <t>not</t>
    </r>
    <r>
      <rPr>
        <sz val="10"/>
        <rFont val="Arial"/>
        <family val="2"/>
      </rPr>
      <t xml:space="preserve"> creeping/stokes flow,but certainly laminar.</t>
    </r>
  </si>
  <si>
    <r>
      <t xml:space="preserve">specific gas cons. </t>
    </r>
    <r>
      <rPr>
        <b/>
        <sz val="14"/>
        <rFont val="Arial"/>
        <family val="2"/>
      </rPr>
      <t>R</t>
    </r>
    <r>
      <rPr>
        <b/>
        <vertAlign val="subscript"/>
        <sz val="14"/>
        <rFont val="Arial"/>
        <family val="2"/>
      </rPr>
      <t>m</t>
    </r>
    <r>
      <rPr>
        <sz val="10"/>
        <rFont val="Arial"/>
        <family val="2"/>
      </rPr>
      <t xml:space="preserve">  for mixture               (bar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/kg*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K)</t>
    </r>
  </si>
  <si>
    <t>resultant lift due to spacer diff pres (mm)</t>
  </si>
  <si>
    <t>Reynolds number</t>
  </si>
  <si>
    <r>
      <rPr>
        <b/>
        <sz val="14"/>
        <rFont val="Arial"/>
        <family val="2"/>
      </rPr>
      <t>h</t>
    </r>
    <r>
      <rPr>
        <sz val="10"/>
        <rFont val="Arial"/>
        <family val="2"/>
      </rPr>
      <t xml:space="preserve"> (W/M</t>
    </r>
    <r>
      <rPr>
        <vertAlign val="superscript"/>
        <sz val="10"/>
        <rFont val="Arial"/>
        <family val="2"/>
      </rPr>
      <t>2o</t>
    </r>
    <r>
      <rPr>
        <sz val="10"/>
        <rFont val="Arial"/>
        <family val="2"/>
      </rPr>
      <t>K)</t>
    </r>
  </si>
  <si>
    <t>integration check:</t>
  </si>
  <si>
    <t>a</t>
  </si>
  <si>
    <t>b</t>
  </si>
  <si>
    <t>c</t>
  </si>
  <si>
    <t>d</t>
  </si>
  <si>
    <t>e</t>
  </si>
  <si>
    <r>
      <t>conduction area (half circle?) M</t>
    </r>
    <r>
      <rPr>
        <vertAlign val="superscript"/>
        <sz val="10"/>
        <rFont val="Arial"/>
        <family val="2"/>
      </rPr>
      <t>2</t>
    </r>
  </si>
  <si>
    <t>computed (Ts-Tbulk)</t>
  </si>
  <si>
    <t>material</t>
  </si>
  <si>
    <t>Polypropylene</t>
  </si>
  <si>
    <t>Density (g/cc)</t>
  </si>
  <si>
    <t>material cost/ring</t>
  </si>
  <si>
    <t>Epoxy</t>
  </si>
  <si>
    <t>HDPolyethylene</t>
  </si>
  <si>
    <t>Moisture absorption%</t>
  </si>
  <si>
    <t>yield strength (Mpa)</t>
  </si>
  <si>
    <t>Noryl EN-265</t>
  </si>
  <si>
    <t>unknown</t>
  </si>
  <si>
    <t>adhesive</t>
  </si>
  <si>
    <t>Lord Engineered Adhesives #510</t>
  </si>
  <si>
    <t>type</t>
  </si>
  <si>
    <t>Acrylic</t>
  </si>
  <si>
    <t>bond line</t>
  </si>
  <si>
    <t>5-10mils</t>
  </si>
  <si>
    <t>Youngs Modulus (Gpa)</t>
  </si>
  <si>
    <t>nylon 6 cast</t>
  </si>
  <si>
    <t>G10</t>
  </si>
  <si>
    <t>etch, then bond with epoxy OR  bond with Loctite 3034</t>
  </si>
  <si>
    <t>10mils</t>
  </si>
  <si>
    <t>mylar coated with PVDC 14 micron thick</t>
  </si>
  <si>
    <t>moisture transmission through end windows</t>
  </si>
  <si>
    <t>diameter (M)</t>
  </si>
  <si>
    <r>
      <t>cm</t>
    </r>
    <r>
      <rPr>
        <b/>
        <vertAlign val="superscript"/>
        <sz val="14"/>
        <rFont val="Arial"/>
        <family val="2"/>
      </rPr>
      <t>3</t>
    </r>
    <r>
      <rPr>
        <b/>
        <sz val="14"/>
        <rFont val="Arial"/>
        <family val="2"/>
      </rPr>
      <t xml:space="preserve"> water vapor</t>
    </r>
  </si>
  <si>
    <t>&lt;&lt;&lt; is this correct? My reading indicated that mylar was a great barrier.</t>
  </si>
  <si>
    <r>
      <t xml:space="preserve"> Moisture transmission cc-mm/m²-24hr-atm </t>
    </r>
    <r>
      <rPr>
        <b/>
        <sz val="16"/>
        <rFont val="Arial"/>
        <family val="2"/>
      </rPr>
      <t>Q</t>
    </r>
  </si>
  <si>
    <r>
      <t>area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) </t>
    </r>
    <r>
      <rPr>
        <b/>
        <sz val="14"/>
        <rFont val="Arial"/>
        <family val="2"/>
      </rPr>
      <t>A</t>
    </r>
  </si>
  <si>
    <r>
      <t xml:space="preserve">thickness (mm) </t>
    </r>
    <r>
      <rPr>
        <b/>
        <sz val="14"/>
        <rFont val="Arial"/>
        <family val="2"/>
      </rPr>
      <t>T</t>
    </r>
  </si>
  <si>
    <r>
      <t xml:space="preserve">pressure (atm) </t>
    </r>
    <r>
      <rPr>
        <b/>
        <sz val="14"/>
        <rFont val="Arial"/>
        <family val="2"/>
      </rPr>
      <t>P</t>
    </r>
  </si>
  <si>
    <r>
      <t xml:space="preserve">gas changes per day </t>
    </r>
    <r>
      <rPr>
        <b/>
        <sz val="14"/>
        <rFont val="Arial"/>
        <family val="2"/>
      </rPr>
      <t>C</t>
    </r>
  </si>
  <si>
    <t>STEEL</t>
  </si>
  <si>
    <t>WEIGHT RING FOR EUGENE</t>
  </si>
  <si>
    <t>OD (cm)</t>
  </si>
  <si>
    <t>ID (cm)</t>
  </si>
  <si>
    <t>height (cm)</t>
  </si>
  <si>
    <t>density gm/cc)</t>
  </si>
  <si>
    <t>mass (grams)</t>
  </si>
  <si>
    <t>thickness thermal grease layer (mm)</t>
  </si>
  <si>
    <r>
      <t>grease conduction area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</si>
  <si>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Δ</t>
    </r>
    <r>
      <rPr>
        <sz val="10"/>
        <rFont val="Arial"/>
        <family val="2"/>
      </rPr>
      <t>T grease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</si>
  <si>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r>
      <t>fluorinert bulk output temperature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 at end of loop</t>
    </r>
  </si>
  <si>
    <r>
      <t>Fluorinert loop input temp (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C)</t>
    </r>
  </si>
  <si>
    <t>IN</t>
  </si>
  <si>
    <t>&lt;&lt;alum is 2.73, STEEL IS 7.87</t>
  </si>
  <si>
    <t>spring force</t>
  </si>
  <si>
    <t>screw dia</t>
  </si>
  <si>
    <t>center to center dist up</t>
  </si>
  <si>
    <t>loop dist cut</t>
  </si>
  <si>
    <t>loop dist up</t>
  </si>
  <si>
    <t>century spring number</t>
  </si>
  <si>
    <t>center to center dist cut (in)</t>
  </si>
  <si>
    <t>initial tension (lbf)</t>
  </si>
  <si>
    <t>free length (in)</t>
  </si>
  <si>
    <t>rate (lbf/in)</t>
  </si>
  <si>
    <t>rec max deflection</t>
  </si>
  <si>
    <t>deflection reqd at cut</t>
  </si>
  <si>
    <t>required cut force (lbf)</t>
  </si>
  <si>
    <t>deflection when up</t>
  </si>
  <si>
    <t>rec max force (lbf)</t>
  </si>
  <si>
    <t>force when up</t>
  </si>
  <si>
    <t>ACTUAL MAX RPM=</t>
  </si>
  <si>
    <t>ACTUAL TRAVERSE SPEED (IN/SEC)</t>
  </si>
  <si>
    <t>PITCH DISTANCE (IN)</t>
  </si>
  <si>
    <t>MINOR DIAMETER (IN)</t>
  </si>
  <si>
    <t>UNSUPPORTED LENGTH (IN)</t>
  </si>
  <si>
    <t>END FIXITY FACTOR</t>
  </si>
  <si>
    <t>CRITICAL SPEED (K=1)</t>
  </si>
  <si>
    <t>&lt;&lt;&lt;WHY IS THIS WHIRLING?</t>
  </si>
  <si>
    <t>load per rod (N)</t>
  </si>
  <si>
    <t>thread size 10-32</t>
  </si>
  <si>
    <t>&lt;&lt;also available in M5 x .8</t>
  </si>
  <si>
    <t>10-32</t>
  </si>
  <si>
    <t>effective diameter (in)</t>
  </si>
  <si>
    <t>effective area (mm2)</t>
  </si>
  <si>
    <t>design initial stress (Mpa)</t>
  </si>
  <si>
    <t>ultem 2300</t>
  </si>
  <si>
    <t>modlulus (Gpa)</t>
  </si>
  <si>
    <t>ultimate strength (Mpa)</t>
  </si>
  <si>
    <r>
      <t>coeff thermal (</t>
    </r>
    <r>
      <rPr>
        <sz val="10"/>
        <rFont val="Arial"/>
        <family val="2"/>
      </rPr>
      <t>μm/m°C)</t>
    </r>
  </si>
  <si>
    <t>initial elongation (mm)</t>
  </si>
  <si>
    <t>percent elongation</t>
  </si>
  <si>
    <t>10 year test duration (hours)</t>
  </si>
  <si>
    <t>Recommendation- 10-32 fiberglass reinforced rods are fine, measure overall elongation to determine stress, use bellevelle washers as safety factor.</t>
  </si>
  <si>
    <t>length of stretched section of threaded rod (mm)</t>
  </si>
  <si>
    <t>glass reinforced Noryl</t>
  </si>
  <si>
    <t>driftcells  per package</t>
  </si>
  <si>
    <r>
      <t xml:space="preserve">watts per package </t>
    </r>
    <r>
      <rPr>
        <b/>
        <i/>
        <sz val="16"/>
        <rFont val="Arial"/>
        <family val="2"/>
      </rPr>
      <t>q</t>
    </r>
  </si>
  <si>
    <t>total packages</t>
  </si>
  <si>
    <t>&lt;&lt;&lt;approximate area of copper tube covered by heat clamps.</t>
  </si>
  <si>
    <t>pinhole camera f-number = distance from hole to aperture/aperture diameter</t>
  </si>
  <si>
    <t>aperture (microns)</t>
  </si>
  <si>
    <t>distance from entry aperature (mm)</t>
  </si>
  <si>
    <t>f-number</t>
  </si>
  <si>
    <t>area of aperture (mm2)</t>
  </si>
  <si>
    <t xml:space="preserve">WATLOW  CARTRIDGE HEATER  </t>
  </si>
  <si>
    <t>Wattage at 120 volts</t>
  </si>
  <si>
    <t>current at 120 volts</t>
  </si>
  <si>
    <t>WATLOW RTD TEMP SENSOR</t>
  </si>
  <si>
    <t>RBHB0TA020BA040</t>
  </si>
  <si>
    <t>WATLOW EZ-ZONE PM CONTROLLER</t>
  </si>
  <si>
    <t>assumed I.D. of glue strip(mm)</t>
  </si>
  <si>
    <t>sense wire number</t>
  </si>
  <si>
    <r>
      <t xml:space="preserve">theoretical length </t>
    </r>
    <r>
      <rPr>
        <b/>
        <sz val="12"/>
        <rFont val="Arial"/>
        <family val="2"/>
      </rPr>
      <t>L</t>
    </r>
  </si>
  <si>
    <r>
      <rPr>
        <b/>
        <sz val="12"/>
        <rFont val="Arial"/>
        <family val="2"/>
      </rPr>
      <t>X</t>
    </r>
    <r>
      <rPr>
        <sz val="10"/>
        <rFont val="Arial"/>
        <family val="2"/>
      </rPr>
      <t xml:space="preserve"> (mm)</t>
    </r>
  </si>
  <si>
    <t>actual length</t>
  </si>
  <si>
    <t>Field wire number</t>
  </si>
  <si>
    <t>linear density of sense wire (per Luma report for spools- g/cm)=</t>
  </si>
  <si>
    <t>linear density of field wire (per Luma report for spools- g/cm)=</t>
  </si>
  <si>
    <t>tension sense(gm)</t>
  </si>
  <si>
    <t>tension field(gm)</t>
  </si>
  <si>
    <t>yield stress for sense wire (Mpa)=</t>
  </si>
  <si>
    <t>ULT STRN FLD</t>
  </si>
  <si>
    <t>yield stress for field wire (Mpa)=</t>
  </si>
  <si>
    <t>Youngs modulus for tungsten sense wire (Gpa)=</t>
  </si>
  <si>
    <t>Youngs modulus for Be-Cu field wire (Gpa)=</t>
  </si>
  <si>
    <t>diameter sense wire (mm)</t>
  </si>
  <si>
    <t>diameter field wire (mm)</t>
  </si>
  <si>
    <t>Target frequency while held round (hz)</t>
  </si>
  <si>
    <t>distance between sense wire pins(mm)</t>
  </si>
  <si>
    <t>distance between field wire pins(mm)</t>
  </si>
  <si>
    <t>sense wire frequency prior to gluing(hz)</t>
  </si>
  <si>
    <t>field wire frequency prior to gluing(hz)</t>
  </si>
  <si>
    <t>P2 SNS#</t>
  </si>
  <si>
    <t>Our freq</t>
  </si>
  <si>
    <t>calc tens (my density)</t>
  </si>
  <si>
    <t>calc tens (Keiths dens)</t>
  </si>
  <si>
    <t>Keith Solberg's sense wire density (g/cm)</t>
  </si>
  <si>
    <t>Keiths tension data (g)</t>
  </si>
  <si>
    <t>held round on jig pins</t>
  </si>
  <si>
    <t>Keiths freq values</t>
  </si>
  <si>
    <t>E2A82-E24H</t>
  </si>
  <si>
    <t>DISTRIBUTOR</t>
  </si>
  <si>
    <t>thermal devices inc.</t>
  </si>
  <si>
    <t>800-282-9100</t>
  </si>
  <si>
    <t>&lt;&lt;&lt; WL EXTENSION NOT PART OF WATLOW'S NUMBER, TELLS DISTRIB IT'S WATLOW ITEM</t>
  </si>
  <si>
    <r>
      <t>PM3C1</t>
    </r>
    <r>
      <rPr>
        <sz val="10"/>
        <rFont val="Arial"/>
        <family val="2"/>
      </rPr>
      <t>AK-AAAAAAA-</t>
    </r>
    <r>
      <rPr>
        <b/>
        <i/>
        <u/>
        <sz val="10"/>
        <rFont val="Arial"/>
        <family val="2"/>
      </rPr>
      <t>WL</t>
    </r>
  </si>
  <si>
    <t>EXT</t>
  </si>
  <si>
    <t>Mike Kuchorski</t>
  </si>
  <si>
    <t>PHONE</t>
  </si>
  <si>
    <t>CONTACT</t>
  </si>
  <si>
    <t>for new larger curing shoe:</t>
  </si>
  <si>
    <t>resistance (ohms)</t>
  </si>
  <si>
    <t>RBJA0TA020-BA040</t>
  </si>
  <si>
    <t>E2J49E48</t>
  </si>
  <si>
    <t>CYLINDER HAS 1.5 DIA. PISTON, SHOE IS .25" X 2.5". IDEAL BOND PRESSURE IS 30-36 BAR. OUR COMPRESSOR PUTS OUT 130 PSI MAX, SO BOND WILL BE 24 BAR.</t>
  </si>
  <si>
    <t>elongation with frame held round at tension(mm)</t>
  </si>
  <si>
    <t>ULT STRN SENS(Mpa)</t>
  </si>
  <si>
    <t>&lt;&lt;&lt;Alloy 25</t>
  </si>
  <si>
    <r>
      <t>target diameter(</t>
    </r>
    <r>
      <rPr>
        <sz val="10"/>
        <rFont val="Calibri"/>
        <family val="2"/>
      </rPr>
      <t>µ</t>
    </r>
    <r>
      <rPr>
        <sz val="10"/>
        <rFont val="Arial"/>
        <family val="2"/>
      </rPr>
      <t>m)</t>
    </r>
  </si>
  <si>
    <r>
      <t>wire initial diameter (</t>
    </r>
    <r>
      <rPr>
        <sz val="10"/>
        <rFont val="Calibri"/>
        <family val="2"/>
      </rPr>
      <t>µ</t>
    </r>
    <r>
      <rPr>
        <sz val="10"/>
        <rFont val="Arial"/>
        <family val="2"/>
      </rPr>
      <t>m)</t>
    </r>
  </si>
  <si>
    <r>
      <t>change in cross sectional area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</si>
  <si>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length of wire to deaden for 78mm diameter dish (M)</t>
  </si>
  <si>
    <t>length of wire to deaden for 60mm diameter dish (M)</t>
  </si>
  <si>
    <t>density of copper (grams/cc)</t>
  </si>
  <si>
    <t>78 mm diameter dish</t>
  </si>
  <si>
    <r>
      <t>change in volume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 for 78 dia.</t>
    </r>
  </si>
  <si>
    <r>
      <t>change in volume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 for 60dia.</t>
    </r>
  </si>
  <si>
    <r>
      <rPr>
        <sz val="10"/>
        <rFont val="Calibri"/>
        <family val="2"/>
      </rPr>
      <t>Δ</t>
    </r>
    <r>
      <rPr>
        <sz val="10"/>
        <rFont val="Arial"/>
        <family val="2"/>
      </rPr>
      <t>mass for 78 dia.(grm)</t>
    </r>
  </si>
  <si>
    <r>
      <rPr>
        <sz val="10"/>
        <rFont val="Calibri"/>
        <family val="2"/>
      </rPr>
      <t>Δ</t>
    </r>
    <r>
      <rPr>
        <sz val="10"/>
        <rFont val="Arial"/>
        <family val="2"/>
      </rPr>
      <t>mass for 60 dia.(grm)</t>
    </r>
  </si>
  <si>
    <t>weight of a mole of copper (grams)</t>
  </si>
  <si>
    <t>electrons to remove copper ion</t>
  </si>
  <si>
    <t>recommended plating paratmeters:</t>
  </si>
  <si>
    <r>
      <t>initial surface area for plating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 78mm dish</t>
    </r>
  </si>
  <si>
    <r>
      <t>initial surface area for plating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 60mm dish</t>
    </r>
  </si>
  <si>
    <t>voltage</t>
  </si>
  <si>
    <t>less than 6</t>
  </si>
  <si>
    <t>initial current for 78mm (amps)</t>
  </si>
  <si>
    <t>initial current for 60mm (amps)</t>
  </si>
  <si>
    <t>range 195-248</t>
  </si>
  <si>
    <t>range 30-75</t>
  </si>
  <si>
    <t>standard plating solution amounts</t>
  </si>
  <si>
    <t>range 200-600</t>
  </si>
  <si>
    <r>
      <t>current density(amps/M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</si>
  <si>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t>copper sulphate (gram/liter)   CuS0</t>
    </r>
    <r>
      <rPr>
        <b/>
        <vertAlign val="subscript"/>
        <sz val="12"/>
        <rFont val="Arial"/>
        <family val="2"/>
      </rPr>
      <t>4</t>
    </r>
    <r>
      <rPr>
        <b/>
        <sz val="12"/>
        <rFont val="Arial"/>
        <family val="2"/>
      </rPr>
      <t xml:space="preserve"> -5H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>0</t>
    </r>
  </si>
  <si>
    <r>
      <t>suphuric acid (gm/liter water)      H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>S0</t>
    </r>
    <r>
      <rPr>
        <b/>
        <vertAlign val="subscript"/>
        <sz val="12"/>
        <rFont val="Arial"/>
        <family val="2"/>
      </rPr>
      <t>4</t>
    </r>
  </si>
  <si>
    <r>
      <t>desired current density (amp/M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</si>
  <si>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our solution mixture</t>
  </si>
  <si>
    <t>copper sulphate (grams/liter of water)</t>
  </si>
  <si>
    <t>sulphuric acid (grams/liter of water)</t>
  </si>
  <si>
    <t>&lt;&lt;&lt;in actuality, each wire should have a different current.</t>
  </si>
  <si>
    <t>Faradays constant (Coulomb/mole)</t>
  </si>
  <si>
    <t>plating time for 78 mm (seconds)</t>
  </si>
  <si>
    <t>plating time for 60 mm (seconds)</t>
  </si>
  <si>
    <t xml:space="preserve">recommended ratio of  reverse to forward current (reverse plating) </t>
  </si>
  <si>
    <t xml:space="preserve">recommended ratio of  reverse to forward time </t>
  </si>
  <si>
    <t>3 to 1</t>
  </si>
  <si>
    <t>1 to 4</t>
  </si>
  <si>
    <t>resultan</t>
  </si>
  <si>
    <t>20 (none)</t>
  </si>
  <si>
    <t>sag (microns)</t>
  </si>
  <si>
    <t>deadening diameter(microns)</t>
  </si>
  <si>
    <t>slope undeadened shifted curve</t>
  </si>
  <si>
    <t>actual sag (microns)</t>
  </si>
  <si>
    <t>deadened curve slope</t>
  </si>
  <si>
    <t>y deadended (microns)</t>
  </si>
  <si>
    <t>x dimension</t>
  </si>
  <si>
    <t>C</t>
  </si>
  <si>
    <t>B</t>
  </si>
  <si>
    <t>longest wire deadening length (m)</t>
  </si>
  <si>
    <t>g</t>
  </si>
  <si>
    <t>gravitational accel(m/s2)</t>
  </si>
  <si>
    <t>half length of longest wire (m)</t>
  </si>
  <si>
    <t>T</t>
  </si>
  <si>
    <t>sense wire tension (Newtons)</t>
  </si>
  <si>
    <t>sense wire tension (grams)</t>
  </si>
  <si>
    <r>
      <t>λ</t>
    </r>
    <r>
      <rPr>
        <b/>
        <vertAlign val="subscript"/>
        <sz val="14"/>
        <color theme="1"/>
        <rFont val="Calibri"/>
        <family val="2"/>
      </rPr>
      <t>d</t>
    </r>
  </si>
  <si>
    <t>linear density of deadened wire (gm/cm)</t>
  </si>
  <si>
    <t>linear density of added copper(gm/cm)</t>
  </si>
  <si>
    <t>cross sectional area of copper(m2)</t>
  </si>
  <si>
    <t>deadening diameter (micron)</t>
  </si>
  <si>
    <r>
      <t>ρ</t>
    </r>
    <r>
      <rPr>
        <b/>
        <vertAlign val="subscript"/>
        <sz val="14"/>
        <color theme="1"/>
        <rFont val="Calibri"/>
        <family val="2"/>
      </rPr>
      <t>cu</t>
    </r>
  </si>
  <si>
    <t>density of copper (gm/cm3)</t>
  </si>
  <si>
    <r>
      <t>λ</t>
    </r>
    <r>
      <rPr>
        <b/>
        <vertAlign val="subscript"/>
        <sz val="14"/>
        <color theme="1"/>
        <rFont val="Calibri"/>
        <family val="2"/>
      </rPr>
      <t>u</t>
    </r>
  </si>
  <si>
    <t>linear density of 20 micron sense wire(gm/cm)</t>
  </si>
  <si>
    <t>symbol</t>
  </si>
  <si>
    <t>Sagging of sense wire when deadened by plating copper at center.</t>
  </si>
  <si>
    <t>cathode upstream</t>
  </si>
  <si>
    <t xml:space="preserve"> (PAO)</t>
  </si>
  <si>
    <t>degrees</t>
  </si>
  <si>
    <t>rail radius=</t>
  </si>
  <si>
    <t>radius</t>
  </si>
  <si>
    <t>cell number</t>
  </si>
  <si>
    <t>wireboard4</t>
  </si>
  <si>
    <t>cathode dowstream</t>
  </si>
  <si>
    <t>wireboard5</t>
  </si>
  <si>
    <t>wireboard6</t>
  </si>
  <si>
    <t>designation</t>
  </si>
  <si>
    <t>c1,</t>
  </si>
</sst>
</file>

<file path=xl/styles.xml><?xml version="1.0" encoding="utf-8"?>
<styleSheet xmlns="http://schemas.openxmlformats.org/spreadsheetml/2006/main">
  <numFmts count="6">
    <numFmt numFmtId="164" formatCode="0.000E+00"/>
    <numFmt numFmtId="165" formatCode="0.0000"/>
    <numFmt numFmtId="166" formatCode="0.00000E+00"/>
    <numFmt numFmtId="167" formatCode="0.000"/>
    <numFmt numFmtId="168" formatCode="0.0000E+00"/>
    <numFmt numFmtId="169" formatCode="0.0"/>
  </numFmts>
  <fonts count="4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i/>
      <sz val="16"/>
      <name val="Arial"/>
      <family val="2"/>
    </font>
    <font>
      <b/>
      <vertAlign val="subscript"/>
      <sz val="16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vertAlign val="subscript"/>
      <sz val="14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vertAlign val="subscript"/>
      <sz val="11"/>
      <name val="Arial"/>
      <family val="2"/>
    </font>
    <font>
      <b/>
      <vertAlign val="superscript"/>
      <sz val="14"/>
      <name val="Arial"/>
      <family val="2"/>
    </font>
    <font>
      <b/>
      <vertAlign val="superscript"/>
      <sz val="12"/>
      <name val="Arial"/>
      <family val="2"/>
    </font>
    <font>
      <sz val="12"/>
      <name val="Arial"/>
      <family val="2"/>
    </font>
    <font>
      <vertAlign val="superscript"/>
      <sz val="12"/>
      <name val="Arial"/>
      <family val="2"/>
    </font>
    <font>
      <sz val="12"/>
      <name val="Bodoni MT Black"/>
      <family val="1"/>
    </font>
    <font>
      <b/>
      <vertAlign val="subscript"/>
      <sz val="12"/>
      <name val="Arial"/>
      <family val="2"/>
    </font>
    <font>
      <b/>
      <i/>
      <vertAlign val="subscript"/>
      <sz val="16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vertAlign val="subscript"/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sz val="20"/>
      <name val="Arial"/>
      <family val="2"/>
    </font>
    <font>
      <b/>
      <vertAlign val="subscript"/>
      <sz val="18"/>
      <name val="Arial"/>
      <family val="2"/>
    </font>
    <font>
      <b/>
      <sz val="11"/>
      <color theme="1"/>
      <name val="Calibri"/>
      <family val="2"/>
      <scheme val="minor"/>
    </font>
    <font>
      <b/>
      <i/>
      <u/>
      <sz val="10"/>
      <name val="Arial"/>
      <family val="2"/>
    </font>
    <font>
      <sz val="10"/>
      <name val="Calibri"/>
      <family val="2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vertAlign val="subscript"/>
      <sz val="14"/>
      <color theme="1"/>
      <name val="Calibri"/>
      <family val="2"/>
    </font>
    <font>
      <b/>
      <sz val="18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6337778862885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ck">
        <color auto="1"/>
      </top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99">
    <xf numFmtId="0" fontId="0" fillId="0" borderId="0" xfId="0"/>
    <xf numFmtId="0" fontId="0" fillId="0" borderId="0" xfId="0" applyAlignment="1">
      <alignment wrapText="1"/>
    </xf>
    <xf numFmtId="0" fontId="4" fillId="0" borderId="0" xfId="0" applyFont="1"/>
    <xf numFmtId="11" fontId="0" fillId="0" borderId="0" xfId="0" applyNumberFormat="1"/>
    <xf numFmtId="0" fontId="0" fillId="2" borderId="0" xfId="0" applyFill="1"/>
    <xf numFmtId="11" fontId="0" fillId="2" borderId="0" xfId="0" applyNumberFormat="1" applyFill="1"/>
    <xf numFmtId="0" fontId="0" fillId="0" borderId="1" xfId="0" applyBorder="1"/>
    <xf numFmtId="11" fontId="0" fillId="0" borderId="1" xfId="0" applyNumberFormat="1" applyBorder="1"/>
    <xf numFmtId="165" fontId="0" fillId="0" borderId="0" xfId="0" applyNumberFormat="1"/>
    <xf numFmtId="166" fontId="0" fillId="2" borderId="0" xfId="0" applyNumberFormat="1" applyFill="1"/>
    <xf numFmtId="0" fontId="0" fillId="2" borderId="0" xfId="0" applyFill="1" applyAlignment="1">
      <alignment wrapText="1"/>
    </xf>
    <xf numFmtId="0" fontId="0" fillId="0" borderId="2" xfId="0" applyBorder="1"/>
    <xf numFmtId="0" fontId="0" fillId="0" borderId="3" xfId="0" applyBorder="1" applyAlignment="1">
      <alignment wrapText="1"/>
    </xf>
    <xf numFmtId="0" fontId="0" fillId="2" borderId="3" xfId="0" applyFill="1" applyBorder="1" applyAlignment="1">
      <alignment wrapText="1"/>
    </xf>
    <xf numFmtId="0" fontId="0" fillId="2" borderId="4" xfId="0" applyFill="1" applyBorder="1" applyAlignment="1">
      <alignment wrapText="1"/>
    </xf>
    <xf numFmtId="0" fontId="0" fillId="0" borderId="5" xfId="0" applyBorder="1"/>
    <xf numFmtId="0" fontId="0" fillId="0" borderId="6" xfId="0" applyBorder="1"/>
    <xf numFmtId="11" fontId="0" fillId="0" borderId="6" xfId="0" applyNumberFormat="1" applyBorder="1"/>
    <xf numFmtId="165" fontId="0" fillId="0" borderId="6" xfId="0" applyNumberFormat="1" applyBorder="1"/>
    <xf numFmtId="166" fontId="0" fillId="2" borderId="6" xfId="0" applyNumberFormat="1" applyFill="1" applyBorder="1"/>
    <xf numFmtId="0" fontId="0" fillId="2" borderId="7" xfId="0" applyFill="1" applyBorder="1"/>
    <xf numFmtId="0" fontId="0" fillId="0" borderId="8" xfId="0" applyBorder="1"/>
    <xf numFmtId="0" fontId="0" fillId="0" borderId="9" xfId="0" applyBorder="1"/>
    <xf numFmtId="11" fontId="0" fillId="0" borderId="9" xfId="0" applyNumberFormat="1" applyBorder="1"/>
    <xf numFmtId="165" fontId="0" fillId="0" borderId="9" xfId="0" applyNumberFormat="1" applyBorder="1"/>
    <xf numFmtId="166" fontId="0" fillId="2" borderId="9" xfId="0" applyNumberFormat="1" applyFill="1" applyBorder="1"/>
    <xf numFmtId="0" fontId="0" fillId="2" borderId="10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3" xfId="0" applyFill="1" applyBorder="1" applyAlignment="1">
      <alignment wrapText="1"/>
    </xf>
    <xf numFmtId="0" fontId="0" fillId="4" borderId="2" xfId="0" applyFill="1" applyBorder="1"/>
    <xf numFmtId="0" fontId="0" fillId="4" borderId="3" xfId="0" applyFill="1" applyBorder="1"/>
    <xf numFmtId="0" fontId="0" fillId="4" borderId="3" xfId="0" applyFill="1" applyBorder="1" applyAlignment="1">
      <alignment wrapText="1"/>
    </xf>
    <xf numFmtId="0" fontId="0" fillId="5" borderId="3" xfId="0" applyFill="1" applyBorder="1" applyAlignment="1">
      <alignment wrapText="1"/>
    </xf>
    <xf numFmtId="2" fontId="0" fillId="5" borderId="6" xfId="0" applyNumberFormat="1" applyFill="1" applyBorder="1"/>
    <xf numFmtId="2" fontId="0" fillId="5" borderId="9" xfId="0" applyNumberFormat="1" applyFill="1" applyBorder="1"/>
    <xf numFmtId="0" fontId="15" fillId="0" borderId="0" xfId="0" applyFont="1"/>
    <xf numFmtId="0" fontId="0" fillId="4" borderId="11" xfId="0" applyFill="1" applyBorder="1" applyAlignment="1">
      <alignment wrapText="1"/>
    </xf>
    <xf numFmtId="0" fontId="0" fillId="4" borderId="0" xfId="0" applyFill="1" applyBorder="1" applyAlignment="1">
      <alignment wrapText="1"/>
    </xf>
    <xf numFmtId="0" fontId="14" fillId="0" borderId="0" xfId="0" applyFont="1"/>
    <xf numFmtId="0" fontId="0" fillId="0" borderId="4" xfId="0" applyBorder="1" applyAlignment="1">
      <alignment wrapText="1"/>
    </xf>
    <xf numFmtId="0" fontId="0" fillId="0" borderId="7" xfId="0" applyBorder="1"/>
    <xf numFmtId="0" fontId="0" fillId="0" borderId="10" xfId="0" applyBorder="1"/>
    <xf numFmtId="0" fontId="0" fillId="6" borderId="0" xfId="0" applyFill="1"/>
    <xf numFmtId="0" fontId="0" fillId="6" borderId="8" xfId="0" applyFill="1" applyBorder="1"/>
    <xf numFmtId="0" fontId="0" fillId="7" borderId="0" xfId="0" applyFill="1"/>
    <xf numFmtId="0" fontId="0" fillId="0" borderId="0" xfId="0" applyFill="1" applyBorder="1"/>
    <xf numFmtId="164" fontId="0" fillId="0" borderId="0" xfId="0" applyNumberFormat="1"/>
    <xf numFmtId="0" fontId="0" fillId="0" borderId="0" xfId="0" applyFont="1" applyFill="1" applyBorder="1"/>
    <xf numFmtId="0" fontId="5" fillId="0" borderId="12" xfId="0" applyFont="1" applyFill="1" applyBorder="1"/>
    <xf numFmtId="2" fontId="5" fillId="0" borderId="13" xfId="0" applyNumberFormat="1" applyFont="1" applyBorder="1"/>
    <xf numFmtId="0" fontId="20" fillId="0" borderId="0" xfId="0" applyFont="1"/>
    <xf numFmtId="0" fontId="11" fillId="0" borderId="12" xfId="0" applyFont="1" applyFill="1" applyBorder="1"/>
    <xf numFmtId="2" fontId="11" fillId="0" borderId="14" xfId="0" applyNumberFormat="1" applyFont="1" applyBorder="1"/>
    <xf numFmtId="0" fontId="0" fillId="0" borderId="0" xfId="0" applyAlignment="1"/>
    <xf numFmtId="0" fontId="11" fillId="4" borderId="0" xfId="0" applyFont="1" applyFill="1" applyBorder="1" applyAlignment="1"/>
    <xf numFmtId="0" fontId="0" fillId="8" borderId="0" xfId="0" applyFill="1" applyBorder="1" applyAlignment="1">
      <alignment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2" fontId="0" fillId="0" borderId="0" xfId="0" applyNumberFormat="1"/>
    <xf numFmtId="0" fontId="0" fillId="4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2" fontId="11" fillId="0" borderId="13" xfId="0" applyNumberFormat="1" applyFont="1" applyBorder="1"/>
    <xf numFmtId="0" fontId="0" fillId="9" borderId="0" xfId="0" applyFill="1"/>
    <xf numFmtId="2" fontId="0" fillId="9" borderId="0" xfId="0" applyNumberFormat="1" applyFill="1"/>
    <xf numFmtId="0" fontId="0" fillId="10" borderId="0" xfId="0" applyFill="1" applyAlignment="1">
      <alignment wrapText="1"/>
    </xf>
    <xf numFmtId="0" fontId="0" fillId="10" borderId="0" xfId="0" applyFill="1"/>
    <xf numFmtId="0" fontId="0" fillId="8" borderId="0" xfId="0" applyFill="1"/>
    <xf numFmtId="0" fontId="0" fillId="8" borderId="0" xfId="0" applyFill="1" applyAlignment="1">
      <alignment wrapText="1"/>
    </xf>
    <xf numFmtId="0" fontId="5" fillId="0" borderId="0" xfId="0" applyFont="1"/>
    <xf numFmtId="0" fontId="11" fillId="0" borderId="0" xfId="0" applyFont="1"/>
    <xf numFmtId="0" fontId="0" fillId="11" borderId="16" xfId="0" applyFill="1" applyBorder="1"/>
    <xf numFmtId="0" fontId="0" fillId="6" borderId="18" xfId="0" applyFill="1" applyBorder="1"/>
    <xf numFmtId="0" fontId="15" fillId="0" borderId="0" xfId="0" applyFont="1" applyFill="1"/>
    <xf numFmtId="0" fontId="0" fillId="0" borderId="0" xfId="0" applyFill="1"/>
    <xf numFmtId="0" fontId="0" fillId="11" borderId="17" xfId="0" applyFill="1" applyBorder="1"/>
    <xf numFmtId="0" fontId="0" fillId="11" borderId="18" xfId="0" applyFill="1" applyBorder="1"/>
    <xf numFmtId="0" fontId="0" fillId="6" borderId="17" xfId="0" applyFill="1" applyBorder="1"/>
    <xf numFmtId="0" fontId="0" fillId="6" borderId="20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12" borderId="0" xfId="0" applyFill="1"/>
    <xf numFmtId="0" fontId="0" fillId="3" borderId="0" xfId="0" applyFill="1"/>
    <xf numFmtId="0" fontId="0" fillId="12" borderId="0" xfId="0" applyFill="1" applyAlignment="1">
      <alignment wrapText="1"/>
    </xf>
    <xf numFmtId="0" fontId="0" fillId="0" borderId="19" xfId="0" applyFill="1" applyBorder="1"/>
    <xf numFmtId="0" fontId="0" fillId="0" borderId="20" xfId="0" applyFill="1" applyBorder="1"/>
    <xf numFmtId="0" fontId="0" fillId="13" borderId="16" xfId="0" applyFill="1" applyBorder="1"/>
    <xf numFmtId="0" fontId="0" fillId="13" borderId="17" xfId="0" applyFill="1" applyBorder="1"/>
    <xf numFmtId="0" fontId="0" fillId="13" borderId="18" xfId="0" applyFill="1" applyBorder="1"/>
    <xf numFmtId="0" fontId="0" fillId="14" borderId="18" xfId="0" applyFill="1" applyBorder="1"/>
    <xf numFmtId="0" fontId="0" fillId="14" borderId="0" xfId="0" applyFill="1" applyAlignment="1">
      <alignment wrapText="1"/>
    </xf>
    <xf numFmtId="0" fontId="0" fillId="5" borderId="18" xfId="0" applyFill="1" applyBorder="1"/>
    <xf numFmtId="0" fontId="0" fillId="5" borderId="0" xfId="0" applyFill="1" applyAlignment="1">
      <alignment wrapText="1"/>
    </xf>
    <xf numFmtId="0" fontId="0" fillId="5" borderId="20" xfId="0" applyFill="1" applyBorder="1"/>
    <xf numFmtId="0" fontId="0" fillId="15" borderId="16" xfId="0" applyFill="1" applyBorder="1"/>
    <xf numFmtId="0" fontId="0" fillId="15" borderId="17" xfId="0" applyFill="1" applyBorder="1"/>
    <xf numFmtId="0" fontId="0" fillId="15" borderId="18" xfId="0" applyFill="1" applyBorder="1"/>
    <xf numFmtId="0" fontId="0" fillId="8" borderId="18" xfId="0" applyFill="1" applyBorder="1"/>
    <xf numFmtId="0" fontId="0" fillId="16" borderId="18" xfId="0" applyFill="1" applyBorder="1"/>
    <xf numFmtId="0" fontId="0" fillId="16" borderId="0" xfId="0" applyFill="1" applyAlignment="1">
      <alignment wrapText="1"/>
    </xf>
    <xf numFmtId="0" fontId="0" fillId="16" borderId="20" xfId="0" applyFill="1" applyBorder="1"/>
    <xf numFmtId="0" fontId="0" fillId="17" borderId="18" xfId="0" applyFill="1" applyBorder="1"/>
    <xf numFmtId="0" fontId="0" fillId="17" borderId="0" xfId="0" applyFill="1"/>
    <xf numFmtId="0" fontId="0" fillId="2" borderId="12" xfId="0" applyFill="1" applyBorder="1" applyAlignment="1">
      <alignment wrapText="1"/>
    </xf>
    <xf numFmtId="0" fontId="0" fillId="2" borderId="14" xfId="0" applyFill="1" applyBorder="1"/>
    <xf numFmtId="0" fontId="0" fillId="3" borderId="14" xfId="0" applyFill="1" applyBorder="1"/>
    <xf numFmtId="0" fontId="0" fillId="3" borderId="13" xfId="0" applyFill="1" applyBorder="1"/>
    <xf numFmtId="0" fontId="8" fillId="0" borderId="0" xfId="0" applyFont="1"/>
    <xf numFmtId="0" fontId="8" fillId="0" borderId="22" xfId="0" applyFont="1" applyBorder="1"/>
    <xf numFmtId="0" fontId="0" fillId="18" borderId="23" xfId="0" applyFill="1" applyBorder="1"/>
    <xf numFmtId="0" fontId="8" fillId="19" borderId="24" xfId="0" applyFont="1" applyFill="1" applyBorder="1" applyAlignment="1">
      <alignment wrapText="1"/>
    </xf>
    <xf numFmtId="0" fontId="0" fillId="19" borderId="25" xfId="0" applyFill="1" applyBorder="1"/>
    <xf numFmtId="0" fontId="8" fillId="0" borderId="0" xfId="0" applyFont="1" applyAlignment="1">
      <alignment wrapText="1"/>
    </xf>
    <xf numFmtId="0" fontId="8" fillId="0" borderId="0" xfId="0" applyFont="1" applyFill="1" applyBorder="1"/>
    <xf numFmtId="0" fontId="0" fillId="0" borderId="0" xfId="0" applyAlignment="1">
      <alignment wrapText="1"/>
    </xf>
    <xf numFmtId="167" fontId="0" fillId="0" borderId="0" xfId="0" applyNumberFormat="1"/>
    <xf numFmtId="0" fontId="0" fillId="0" borderId="0" xfId="0" applyAlignment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8" fillId="0" borderId="2" xfId="0" applyFont="1" applyBorder="1"/>
    <xf numFmtId="0" fontId="8" fillId="0" borderId="3" xfId="0" applyFont="1" applyBorder="1"/>
    <xf numFmtId="0" fontId="8" fillId="0" borderId="4" xfId="0" applyFont="1" applyBorder="1"/>
    <xf numFmtId="0" fontId="8" fillId="18" borderId="5" xfId="0" applyFont="1" applyFill="1" applyBorder="1"/>
    <xf numFmtId="0" fontId="0" fillId="18" borderId="6" xfId="0" applyFill="1" applyBorder="1"/>
    <xf numFmtId="0" fontId="8" fillId="18" borderId="8" xfId="0" applyFont="1" applyFill="1" applyBorder="1"/>
    <xf numFmtId="0" fontId="0" fillId="18" borderId="9" xfId="0" applyFill="1" applyBorder="1"/>
    <xf numFmtId="0" fontId="8" fillId="19" borderId="0" xfId="0" applyFont="1" applyFill="1"/>
    <xf numFmtId="0" fontId="0" fillId="19" borderId="0" xfId="0" applyFill="1"/>
    <xf numFmtId="0" fontId="8" fillId="19" borderId="12" xfId="0" applyFont="1" applyFill="1" applyBorder="1"/>
    <xf numFmtId="0" fontId="0" fillId="19" borderId="13" xfId="0" applyFill="1" applyBorder="1"/>
    <xf numFmtId="0" fontId="9" fillId="0" borderId="0" xfId="0" applyFont="1"/>
    <xf numFmtId="0" fontId="8" fillId="20" borderId="0" xfId="0" applyFont="1" applyFill="1"/>
    <xf numFmtId="0" fontId="8" fillId="21" borderId="0" xfId="0" applyFont="1" applyFill="1"/>
    <xf numFmtId="0" fontId="8" fillId="18" borderId="0" xfId="0" applyFont="1" applyFill="1"/>
    <xf numFmtId="0" fontId="0" fillId="22" borderId="0" xfId="0" applyFill="1"/>
    <xf numFmtId="0" fontId="0" fillId="23" borderId="0" xfId="0" applyFill="1"/>
    <xf numFmtId="0" fontId="8" fillId="24" borderId="0" xfId="0" applyFont="1" applyFill="1"/>
    <xf numFmtId="0" fontId="0" fillId="25" borderId="0" xfId="0" applyFill="1"/>
    <xf numFmtId="0" fontId="0" fillId="26" borderId="0" xfId="0" applyFill="1"/>
    <xf numFmtId="0" fontId="0" fillId="0" borderId="4" xfId="0" applyBorder="1"/>
    <xf numFmtId="0" fontId="8" fillId="0" borderId="5" xfId="0" applyFont="1" applyBorder="1"/>
    <xf numFmtId="0" fontId="0" fillId="18" borderId="7" xfId="0" applyFill="1" applyBorder="1"/>
    <xf numFmtId="0" fontId="8" fillId="0" borderId="8" xfId="0" applyFont="1" applyBorder="1"/>
    <xf numFmtId="0" fontId="8" fillId="27" borderId="0" xfId="0" applyFont="1" applyFill="1"/>
    <xf numFmtId="11" fontId="0" fillId="27" borderId="0" xfId="0" applyNumberFormat="1" applyFill="1"/>
    <xf numFmtId="0" fontId="8" fillId="27" borderId="0" xfId="0" applyFont="1" applyFill="1" applyBorder="1"/>
    <xf numFmtId="0" fontId="0" fillId="27" borderId="0" xfId="0" applyFill="1"/>
    <xf numFmtId="0" fontId="8" fillId="28" borderId="0" xfId="0" applyFont="1" applyFill="1"/>
    <xf numFmtId="0" fontId="8" fillId="28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0" fillId="21" borderId="0" xfId="0" applyFill="1"/>
    <xf numFmtId="0" fontId="8" fillId="21" borderId="0" xfId="0" applyFont="1" applyFill="1" applyBorder="1"/>
    <xf numFmtId="0" fontId="8" fillId="25" borderId="0" xfId="0" applyFont="1" applyFill="1" applyBorder="1"/>
    <xf numFmtId="11" fontId="0" fillId="25" borderId="0" xfId="0" applyNumberFormat="1" applyFill="1"/>
    <xf numFmtId="0" fontId="8" fillId="22" borderId="0" xfId="0" applyFont="1" applyFill="1"/>
    <xf numFmtId="2" fontId="0" fillId="22" borderId="0" xfId="0" applyNumberFormat="1" applyFill="1"/>
    <xf numFmtId="2" fontId="0" fillId="20" borderId="0" xfId="0" applyNumberFormat="1" applyFill="1"/>
    <xf numFmtId="0" fontId="0" fillId="29" borderId="0" xfId="0" applyFill="1"/>
    <xf numFmtId="0" fontId="8" fillId="29" borderId="0" xfId="0" applyFont="1" applyFill="1"/>
    <xf numFmtId="2" fontId="0" fillId="0" borderId="0" xfId="0" applyNumberFormat="1" applyFill="1"/>
    <xf numFmtId="0" fontId="0" fillId="20" borderId="0" xfId="0" applyFill="1"/>
    <xf numFmtId="0" fontId="8" fillId="30" borderId="3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167" fontId="0" fillId="22" borderId="0" xfId="0" applyNumberFormat="1" applyFill="1"/>
    <xf numFmtId="167" fontId="0" fillId="20" borderId="0" xfId="0" applyNumberFormat="1" applyFill="1"/>
    <xf numFmtId="2" fontId="0" fillId="30" borderId="0" xfId="0" applyNumberFormat="1" applyFill="1"/>
    <xf numFmtId="2" fontId="4" fillId="20" borderId="26" xfId="0" applyNumberFormat="1" applyFont="1" applyFill="1" applyBorder="1"/>
    <xf numFmtId="2" fontId="0" fillId="20" borderId="26" xfId="0" applyNumberFormat="1" applyFill="1" applyBorder="1"/>
    <xf numFmtId="0" fontId="8" fillId="31" borderId="0" xfId="0" applyFont="1" applyFill="1"/>
    <xf numFmtId="0" fontId="0" fillId="31" borderId="0" xfId="0" applyFill="1"/>
    <xf numFmtId="0" fontId="0" fillId="32" borderId="0" xfId="0" applyFill="1"/>
    <xf numFmtId="0" fontId="8" fillId="32" borderId="0" xfId="0" applyFont="1" applyFill="1"/>
    <xf numFmtId="0" fontId="0" fillId="18" borderId="0" xfId="0" applyFill="1"/>
    <xf numFmtId="0" fontId="30" fillId="0" borderId="0" xfId="0" applyFont="1"/>
    <xf numFmtId="0" fontId="30" fillId="21" borderId="0" xfId="0" applyFont="1" applyFill="1"/>
    <xf numFmtId="0" fontId="29" fillId="0" borderId="0" xfId="0" applyFont="1"/>
    <xf numFmtId="0" fontId="8" fillId="0" borderId="5" xfId="0" applyFont="1" applyBorder="1" applyAlignment="1">
      <alignment wrapText="1"/>
    </xf>
    <xf numFmtId="0" fontId="8" fillId="0" borderId="5" xfId="0" applyFont="1" applyFill="1" applyBorder="1"/>
    <xf numFmtId="0" fontId="8" fillId="0" borderId="2" xfId="0" applyFont="1" applyBorder="1" applyAlignment="1">
      <alignment wrapText="1"/>
    </xf>
    <xf numFmtId="0" fontId="8" fillId="0" borderId="5" xfId="0" applyFont="1" applyFill="1" applyBorder="1" applyAlignment="1">
      <alignment wrapText="1"/>
    </xf>
    <xf numFmtId="0" fontId="8" fillId="18" borderId="5" xfId="0" applyFont="1" applyFill="1" applyBorder="1" applyAlignment="1">
      <alignment wrapText="1"/>
    </xf>
    <xf numFmtId="0" fontId="8" fillId="27" borderId="5" xfId="0" applyFont="1" applyFill="1" applyBorder="1" applyAlignment="1">
      <alignment wrapText="1"/>
    </xf>
    <xf numFmtId="11" fontId="0" fillId="27" borderId="7" xfId="0" applyNumberFormat="1" applyFill="1" applyBorder="1"/>
    <xf numFmtId="0" fontId="0" fillId="27" borderId="7" xfId="0" applyFill="1" applyBorder="1"/>
    <xf numFmtId="0" fontId="8" fillId="0" borderId="8" xfId="0" applyFont="1" applyFill="1" applyBorder="1" applyAlignment="1">
      <alignment wrapText="1"/>
    </xf>
    <xf numFmtId="0" fontId="8" fillId="0" borderId="8" xfId="0" applyFont="1" applyFill="1" applyBorder="1"/>
    <xf numFmtId="166" fontId="0" fillId="0" borderId="4" xfId="0" applyNumberFormat="1" applyBorder="1"/>
    <xf numFmtId="166" fontId="0" fillId="0" borderId="7" xfId="0" applyNumberFormat="1" applyBorder="1"/>
    <xf numFmtId="166" fontId="0" fillId="0" borderId="10" xfId="0" applyNumberFormat="1" applyBorder="1"/>
    <xf numFmtId="166" fontId="0" fillId="0" borderId="0" xfId="0" applyNumberFormat="1"/>
    <xf numFmtId="11" fontId="0" fillId="18" borderId="0" xfId="0" applyNumberFormat="1" applyFill="1"/>
    <xf numFmtId="166" fontId="0" fillId="18" borderId="0" xfId="0" applyNumberFormat="1" applyFill="1"/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5" fillId="18" borderId="0" xfId="0" applyFont="1" applyFill="1" applyAlignment="1">
      <alignment wrapText="1"/>
    </xf>
    <xf numFmtId="0" fontId="8" fillId="18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8" fillId="21" borderId="0" xfId="0" applyFont="1" applyFill="1" applyBorder="1" applyAlignment="1">
      <alignment wrapText="1"/>
    </xf>
    <xf numFmtId="0" fontId="16" fillId="0" borderId="0" xfId="0" applyFont="1"/>
    <xf numFmtId="49" fontId="8" fillId="0" borderId="0" xfId="0" applyNumberFormat="1" applyFont="1"/>
    <xf numFmtId="0" fontId="32" fillId="0" borderId="27" xfId="0" applyFont="1" applyBorder="1" applyAlignment="1">
      <alignment wrapText="1"/>
    </xf>
    <xf numFmtId="0" fontId="0" fillId="0" borderId="27" xfId="0" applyBorder="1" applyAlignment="1">
      <alignment wrapText="1"/>
    </xf>
    <xf numFmtId="0" fontId="0" fillId="0" borderId="0" xfId="0" applyAlignment="1">
      <alignment wrapText="1"/>
    </xf>
    <xf numFmtId="0" fontId="0" fillId="33" borderId="0" xfId="0" applyFill="1"/>
    <xf numFmtId="0" fontId="8" fillId="33" borderId="0" xfId="0" applyFont="1" applyFill="1"/>
    <xf numFmtId="0" fontId="8" fillId="20" borderId="0" xfId="0" applyFont="1" applyFill="1" applyAlignment="1">
      <alignment wrapText="1"/>
    </xf>
    <xf numFmtId="0" fontId="0" fillId="34" borderId="0" xfId="0" applyFill="1"/>
    <xf numFmtId="0" fontId="8" fillId="34" borderId="0" xfId="0" applyFont="1" applyFill="1"/>
    <xf numFmtId="0" fontId="8" fillId="34" borderId="0" xfId="0" applyFont="1" applyFill="1" applyAlignment="1">
      <alignment wrapText="1"/>
    </xf>
    <xf numFmtId="168" fontId="0" fillId="0" borderId="0" xfId="0" applyNumberFormat="1"/>
    <xf numFmtId="1" fontId="0" fillId="0" borderId="0" xfId="0" applyNumberFormat="1"/>
    <xf numFmtId="169" fontId="0" fillId="0" borderId="0" xfId="0" applyNumberFormat="1"/>
    <xf numFmtId="169" fontId="4" fillId="0" borderId="0" xfId="0" applyNumberFormat="1" applyFont="1"/>
    <xf numFmtId="169" fontId="8" fillId="0" borderId="0" xfId="0" applyNumberFormat="1" applyFont="1"/>
    <xf numFmtId="168" fontId="0" fillId="20" borderId="0" xfId="0" applyNumberFormat="1" applyFill="1"/>
    <xf numFmtId="0" fontId="0" fillId="0" borderId="28" xfId="0" applyBorder="1"/>
    <xf numFmtId="0" fontId="8" fillId="21" borderId="28" xfId="0" applyFont="1" applyFill="1" applyBorder="1"/>
    <xf numFmtId="0" fontId="0" fillId="21" borderId="28" xfId="0" applyFill="1" applyBorder="1"/>
    <xf numFmtId="0" fontId="0" fillId="0" borderId="0" xfId="0" applyBorder="1"/>
    <xf numFmtId="0" fontId="0" fillId="20" borderId="0" xfId="0" applyFill="1" applyBorder="1" applyAlignment="1">
      <alignment wrapText="1"/>
    </xf>
    <xf numFmtId="0" fontId="8" fillId="0" borderId="0" xfId="0" applyFont="1" applyBorder="1"/>
    <xf numFmtId="0" fontId="0" fillId="0" borderId="0" xfId="0" applyFont="1" applyBorder="1" applyAlignment="1">
      <alignment wrapText="1"/>
    </xf>
    <xf numFmtId="0" fontId="8" fillId="0" borderId="18" xfId="0" applyFont="1" applyBorder="1" applyAlignment="1">
      <alignment wrapText="1"/>
    </xf>
    <xf numFmtId="2" fontId="0" fillId="0" borderId="0" xfId="0" applyNumberFormat="1" applyBorder="1"/>
    <xf numFmtId="2" fontId="0" fillId="0" borderId="18" xfId="0" applyNumberFormat="1" applyBorder="1"/>
    <xf numFmtId="0" fontId="0" fillId="0" borderId="21" xfId="0" applyBorder="1"/>
    <xf numFmtId="2" fontId="0" fillId="0" borderId="21" xfId="0" applyNumberFormat="1" applyBorder="1"/>
    <xf numFmtId="2" fontId="0" fillId="0" borderId="20" xfId="0" applyNumberFormat="1" applyBorder="1"/>
    <xf numFmtId="0" fontId="8" fillId="0" borderId="10" xfId="0" applyFont="1" applyBorder="1"/>
    <xf numFmtId="0" fontId="8" fillId="0" borderId="7" xfId="0" applyFont="1" applyBorder="1"/>
    <xf numFmtId="0" fontId="8" fillId="18" borderId="10" xfId="0" applyFont="1" applyFill="1" applyBorder="1"/>
    <xf numFmtId="0" fontId="0" fillId="18" borderId="4" xfId="0" applyFill="1" applyBorder="1"/>
    <xf numFmtId="0" fontId="0" fillId="18" borderId="0" xfId="0" applyFill="1" applyAlignment="1">
      <alignment wrapText="1"/>
    </xf>
    <xf numFmtId="165" fontId="0" fillId="18" borderId="0" xfId="0" applyNumberFormat="1" applyFill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1" fillId="18" borderId="0" xfId="0" applyFont="1" applyFill="1"/>
    <xf numFmtId="167" fontId="11" fillId="18" borderId="0" xfId="0" applyNumberFormat="1" applyFont="1" applyFill="1"/>
    <xf numFmtId="0" fontId="11" fillId="0" borderId="5" xfId="0" applyFont="1" applyBorder="1"/>
    <xf numFmtId="0" fontId="11" fillId="0" borderId="7" xfId="0" applyFont="1" applyBorder="1"/>
    <xf numFmtId="0" fontId="11" fillId="0" borderId="5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11" fillId="0" borderId="10" xfId="0" applyFont="1" applyBorder="1"/>
    <xf numFmtId="0" fontId="11" fillId="19" borderId="29" xfId="0" applyFont="1" applyFill="1" applyBorder="1"/>
    <xf numFmtId="0" fontId="11" fillId="19" borderId="30" xfId="0" applyFont="1" applyFill="1" applyBorder="1"/>
    <xf numFmtId="20" fontId="5" fillId="0" borderId="0" xfId="0" applyNumberFormat="1" applyFont="1"/>
    <xf numFmtId="0" fontId="1" fillId="0" borderId="0" xfId="1"/>
    <xf numFmtId="166" fontId="1" fillId="0" borderId="0" xfId="1" applyNumberFormat="1"/>
    <xf numFmtId="0" fontId="1" fillId="0" borderId="10" xfId="1" applyBorder="1"/>
    <xf numFmtId="0" fontId="1" fillId="0" borderId="8" xfId="1" applyBorder="1"/>
    <xf numFmtId="0" fontId="1" fillId="0" borderId="7" xfId="1" applyBorder="1"/>
    <xf numFmtId="0" fontId="1" fillId="0" borderId="5" xfId="1" applyBorder="1"/>
    <xf numFmtId="0" fontId="1" fillId="0" borderId="4" xfId="1" applyBorder="1"/>
    <xf numFmtId="0" fontId="1" fillId="0" borderId="2" xfId="1" applyBorder="1"/>
    <xf numFmtId="0" fontId="32" fillId="0" borderId="0" xfId="1" applyFont="1" applyAlignment="1">
      <alignment horizontal="center"/>
    </xf>
    <xf numFmtId="0" fontId="35" fillId="0" borderId="0" xfId="1" applyFont="1"/>
    <xf numFmtId="11" fontId="36" fillId="21" borderId="0" xfId="1" applyNumberFormat="1" applyFont="1" applyFill="1"/>
    <xf numFmtId="11" fontId="1" fillId="0" borderId="0" xfId="1" applyNumberFormat="1"/>
    <xf numFmtId="0" fontId="1" fillId="0" borderId="0" xfId="1" applyAlignment="1">
      <alignment wrapText="1"/>
    </xf>
    <xf numFmtId="0" fontId="32" fillId="0" borderId="0" xfId="1" applyFont="1" applyAlignment="1">
      <alignment horizontal="center" wrapText="1"/>
    </xf>
    <xf numFmtId="0" fontId="1" fillId="0" borderId="0" xfId="1" applyFill="1"/>
    <xf numFmtId="2" fontId="37" fillId="0" borderId="0" xfId="1" applyNumberFormat="1" applyFont="1" applyFill="1"/>
    <xf numFmtId="0" fontId="37" fillId="0" borderId="0" xfId="1" applyFont="1" applyAlignment="1">
      <alignment horizontal="center"/>
    </xf>
    <xf numFmtId="0" fontId="37" fillId="0" borderId="0" xfId="1" applyFont="1" applyAlignment="1">
      <alignment wrapText="1"/>
    </xf>
    <xf numFmtId="0" fontId="36" fillId="0" borderId="0" xfId="1" applyFont="1" applyAlignment="1">
      <alignment horizontal="center"/>
    </xf>
    <xf numFmtId="0" fontId="38" fillId="0" borderId="0" xfId="1" applyFont="1" applyAlignment="1">
      <alignment horizontal="center"/>
    </xf>
    <xf numFmtId="1" fontId="35" fillId="0" borderId="0" xfId="1" applyNumberFormat="1" applyFont="1"/>
    <xf numFmtId="0" fontId="35" fillId="0" borderId="0" xfId="1" applyFont="1" applyAlignment="1">
      <alignment horizontal="center"/>
    </xf>
    <xf numFmtId="0" fontId="35" fillId="0" borderId="0" xfId="1" applyFont="1" applyAlignment="1">
      <alignment wrapText="1"/>
    </xf>
    <xf numFmtId="0" fontId="0" fillId="0" borderId="0" xfId="0" applyAlignment="1"/>
    <xf numFmtId="0" fontId="0" fillId="0" borderId="0" xfId="0" applyAlignment="1">
      <alignment wrapText="1"/>
    </xf>
    <xf numFmtId="0" fontId="0" fillId="8" borderId="0" xfId="0" applyFill="1" applyAlignment="1">
      <alignment wrapText="1"/>
    </xf>
    <xf numFmtId="0" fontId="0" fillId="2" borderId="0" xfId="0" applyFill="1" applyAlignment="1">
      <alignment wrapText="1"/>
    </xf>
    <xf numFmtId="0" fontId="11" fillId="3" borderId="21" xfId="0" applyFont="1" applyFill="1" applyBorder="1" applyAlignment="1"/>
    <xf numFmtId="0" fontId="0" fillId="0" borderId="21" xfId="0" applyBorder="1" applyAlignment="1"/>
    <xf numFmtId="0" fontId="40" fillId="20" borderId="0" xfId="1" applyFont="1" applyFill="1" applyAlignment="1">
      <alignment wrapText="1"/>
    </xf>
    <xf numFmtId="0" fontId="1" fillId="20" borderId="0" xfId="1" applyFill="1" applyAlignment="1">
      <alignment wrapText="1"/>
    </xf>
    <xf numFmtId="0" fontId="0" fillId="11" borderId="0" xfId="0" applyFill="1" applyBorder="1"/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0" fillId="12" borderId="0" xfId="0" applyFill="1" applyBorder="1"/>
    <xf numFmtId="0" fontId="0" fillId="12" borderId="0" xfId="0" applyFill="1" applyBorder="1" applyAlignment="1">
      <alignment wrapText="1"/>
    </xf>
    <xf numFmtId="0" fontId="0" fillId="0" borderId="28" xfId="0" applyBorder="1" applyAlignment="1">
      <alignment wrapText="1"/>
    </xf>
    <xf numFmtId="0" fontId="8" fillId="2" borderId="17" xfId="0" applyFont="1" applyFill="1" applyBorder="1" applyAlignment="1">
      <alignment wrapText="1"/>
    </xf>
    <xf numFmtId="0" fontId="0" fillId="12" borderId="17" xfId="0" applyFill="1" applyBorder="1" applyAlignment="1">
      <alignment wrapText="1"/>
    </xf>
    <xf numFmtId="0" fontId="0" fillId="12" borderId="21" xfId="0" applyFill="1" applyBorder="1"/>
    <xf numFmtId="0" fontId="0" fillId="11" borderId="28" xfId="0" applyFill="1" applyBorder="1"/>
    <xf numFmtId="0" fontId="0" fillId="12" borderId="21" xfId="0" applyFill="1" applyBorder="1" applyAlignment="1">
      <alignment wrapText="1"/>
    </xf>
    <xf numFmtId="0" fontId="8" fillId="11" borderId="17" xfId="0" applyFont="1" applyFill="1" applyBorder="1"/>
    <xf numFmtId="0" fontId="8" fillId="0" borderId="15" xfId="0" applyFont="1" applyFill="1" applyBorder="1"/>
    <xf numFmtId="0" fontId="8" fillId="0" borderId="16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FF6600"/>
      <color rgb="FF00FF00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drift cell preamp locations</a:t>
            </a:r>
          </a:p>
        </c:rich>
      </c:tx>
      <c:layout>
        <c:manualLayout>
          <c:xMode val="edge"/>
          <c:yMode val="edge"/>
          <c:x val="0.27893738140417457"/>
          <c:y val="3.0501089324618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117652039225647E-2"/>
          <c:y val="0.12854053374047197"/>
          <c:w val="0.70777988614802989"/>
          <c:h val="0.84749635649926069"/>
        </c:manualLayout>
      </c:layout>
      <c:scatterChart>
        <c:scatterStyle val="lineMarker"/>
        <c:ser>
          <c:idx val="0"/>
          <c:order val="0"/>
          <c:tx>
            <c:v>wirebrd1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'pre-amp_locations FINAL'!$D$29:$D$32</c:f>
              <c:numCache>
                <c:formatCode>General</c:formatCode>
                <c:ptCount val="4"/>
                <c:pt idx="0">
                  <c:v>2.7834620192013086</c:v>
                </c:pt>
                <c:pt idx="1">
                  <c:v>12.855752193730785</c:v>
                </c:pt>
                <c:pt idx="2">
                  <c:v>-12.855752193730792</c:v>
                </c:pt>
                <c:pt idx="3">
                  <c:v>-2.7834620192013175</c:v>
                </c:pt>
              </c:numCache>
            </c:numRef>
          </c:xVal>
          <c:yVal>
            <c:numRef>
              <c:f>'pre-amp_locations FINAL'!$E$29:$E$32</c:f>
              <c:numCache>
                <c:formatCode>General</c:formatCode>
                <c:ptCount val="4"/>
                <c:pt idx="0">
                  <c:v>-19.805361374831406</c:v>
                </c:pt>
                <c:pt idx="1">
                  <c:v>-15.32088886237956</c:v>
                </c:pt>
                <c:pt idx="2">
                  <c:v>-15.320888862379558</c:v>
                </c:pt>
                <c:pt idx="3">
                  <c:v>-19.805361374831406</c:v>
                </c:pt>
              </c:numCache>
            </c:numRef>
          </c:yVal>
        </c:ser>
        <c:ser>
          <c:idx val="1"/>
          <c:order val="1"/>
          <c:tx>
            <c:v>cath downstream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'pre-amp_locations FINAL'!$D$33:$D$41</c:f>
              <c:numCache>
                <c:formatCode>General</c:formatCode>
                <c:ptCount val="9"/>
                <c:pt idx="0">
                  <c:v>14.698291902999197</c:v>
                </c:pt>
                <c:pt idx="1">
                  <c:v>17.835950592104282</c:v>
                </c:pt>
                <c:pt idx="2">
                  <c:v>19.810189264766176</c:v>
                </c:pt>
                <c:pt idx="3">
                  <c:v>19.479519345581032</c:v>
                </c:pt>
                <c:pt idx="4">
                  <c:v>18.530572617436746</c:v>
                </c:pt>
                <c:pt idx="5">
                  <c:v>15.738700439226747</c:v>
                </c:pt>
                <c:pt idx="6">
                  <c:v>12.559261152986759</c:v>
                </c:pt>
                <c:pt idx="7">
                  <c:v>6.8404028665133776</c:v>
                </c:pt>
                <c:pt idx="8">
                  <c:v>-19.136271681152152</c:v>
                </c:pt>
              </c:numCache>
            </c:numRef>
          </c:xVal>
          <c:yVal>
            <c:numRef>
              <c:f>'pre-amp_locations FINAL'!$E$33:$E$41</c:f>
              <c:numCache>
                <c:formatCode>General</c:formatCode>
                <c:ptCount val="9"/>
                <c:pt idx="0">
                  <c:v>-13.563193397361413</c:v>
                </c:pt>
                <c:pt idx="1">
                  <c:v>-9.0486941862356538</c:v>
                </c:pt>
                <c:pt idx="2">
                  <c:v>-2.7488909207429351</c:v>
                </c:pt>
                <c:pt idx="3">
                  <c:v>4.5330261487370995</c:v>
                </c:pt>
                <c:pt idx="4">
                  <c:v>7.5244852627873104</c:v>
                </c:pt>
                <c:pt idx="5">
                  <c:v>12.340717502814972</c:v>
                </c:pt>
                <c:pt idx="6">
                  <c:v>15.564862970520419</c:v>
                </c:pt>
                <c:pt idx="7">
                  <c:v>18.793852415718167</c:v>
                </c:pt>
                <c:pt idx="8">
                  <c:v>-5.814043871965044</c:v>
                </c:pt>
              </c:numCache>
            </c:numRef>
          </c:yVal>
        </c:ser>
        <c:ser>
          <c:idx val="2"/>
          <c:order val="2"/>
          <c:tx>
            <c:v>cath upstream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'pre-amp_locations FINAL'!$D$42:$D$50</c:f>
              <c:numCache>
                <c:formatCode>General</c:formatCode>
                <c:ptCount val="9"/>
                <c:pt idx="0">
                  <c:v>19.126095119260707</c:v>
                </c:pt>
                <c:pt idx="1">
                  <c:v>-6.8404028665133731</c:v>
                </c:pt>
                <c:pt idx="2">
                  <c:v>-12.586407820996753</c:v>
                </c:pt>
                <c:pt idx="3">
                  <c:v>-15.760215072134443</c:v>
                </c:pt>
                <c:pt idx="4">
                  <c:v>-18.543677091335745</c:v>
                </c:pt>
                <c:pt idx="5">
                  <c:v>-19.487401295704704</c:v>
                </c:pt>
                <c:pt idx="6">
                  <c:v>-19.805361374831406</c:v>
                </c:pt>
                <c:pt idx="7">
                  <c:v>-17.820130483767358</c:v>
                </c:pt>
                <c:pt idx="8">
                  <c:v>-14.674597290057523</c:v>
                </c:pt>
              </c:numCache>
            </c:numRef>
          </c:xVal>
          <c:yVal>
            <c:numRef>
              <c:f>'pre-amp_locations FINAL'!$E$42:$E$50</c:f>
              <c:numCache>
                <c:formatCode>General</c:formatCode>
                <c:ptCount val="9"/>
                <c:pt idx="0">
                  <c:v>-5.8474340944547354</c:v>
                </c:pt>
                <c:pt idx="1">
                  <c:v>18.79385241571817</c:v>
                </c:pt>
                <c:pt idx="2">
                  <c:v>15.54291922913942</c:v>
                </c:pt>
                <c:pt idx="3">
                  <c:v>12.313229506513167</c:v>
                </c:pt>
                <c:pt idx="4">
                  <c:v>7.4921318683182445</c:v>
                </c:pt>
                <c:pt idx="5">
                  <c:v>4.4990210868773044</c:v>
                </c:pt>
                <c:pt idx="6">
                  <c:v>-2.7834620192013104</c:v>
                </c:pt>
                <c:pt idx="7">
                  <c:v>-9.0798099947909332</c:v>
                </c:pt>
                <c:pt idx="8">
                  <c:v>-13.58882608523033</c:v>
                </c:pt>
              </c:numCache>
            </c:numRef>
          </c:yVal>
        </c:ser>
        <c:ser>
          <c:idx val="3"/>
          <c:order val="3"/>
          <c:tx>
            <c:v>rails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'pre-amp_locations FINAL'!$L$31:$L$49</c:f>
              <c:numCache>
                <c:formatCode>General</c:formatCode>
                <c:ptCount val="19"/>
                <c:pt idx="0">
                  <c:v>0</c:v>
                </c:pt>
                <c:pt idx="1">
                  <c:v>21.946409105716132</c:v>
                </c:pt>
                <c:pt idx="2">
                  <c:v>21.946409105716132</c:v>
                </c:pt>
                <c:pt idx="3">
                  <c:v>0</c:v>
                </c:pt>
                <c:pt idx="4">
                  <c:v>12.30224387635643</c:v>
                </c:pt>
                <c:pt idx="5">
                  <c:v>9.6441652293597038</c:v>
                </c:pt>
                <c:pt idx="6">
                  <c:v>0</c:v>
                </c:pt>
                <c:pt idx="7">
                  <c:v>-9.6441652293597038</c:v>
                </c:pt>
                <c:pt idx="8">
                  <c:v>-12.302243876356428</c:v>
                </c:pt>
                <c:pt idx="9">
                  <c:v>0</c:v>
                </c:pt>
                <c:pt idx="10">
                  <c:v>-21.946409105716132</c:v>
                </c:pt>
                <c:pt idx="11">
                  <c:v>-21.946409105716132</c:v>
                </c:pt>
                <c:pt idx="12">
                  <c:v>0</c:v>
                </c:pt>
                <c:pt idx="13">
                  <c:v>-12.302243876356423</c:v>
                </c:pt>
                <c:pt idx="14">
                  <c:v>-9.6441652293597091</c:v>
                </c:pt>
                <c:pt idx="15">
                  <c:v>0</c:v>
                </c:pt>
                <c:pt idx="16">
                  <c:v>9.644165229359702</c:v>
                </c:pt>
                <c:pt idx="17">
                  <c:v>12.302243876356435</c:v>
                </c:pt>
                <c:pt idx="18">
                  <c:v>0</c:v>
                </c:pt>
              </c:numCache>
            </c:numRef>
          </c:xVal>
          <c:yVal>
            <c:numRef>
              <c:f>'pre-amp_locations FINAL'!$M$31:$M$49</c:f>
              <c:numCache>
                <c:formatCode>General</c:formatCode>
                <c:ptCount val="19"/>
                <c:pt idx="0">
                  <c:v>0</c:v>
                </c:pt>
                <c:pt idx="1">
                  <c:v>-1.5346424223707564</c:v>
                </c:pt>
                <c:pt idx="2">
                  <c:v>1.5346424223707564</c:v>
                </c:pt>
                <c:pt idx="3">
                  <c:v>0</c:v>
                </c:pt>
                <c:pt idx="4">
                  <c:v>18.238826596210917</c:v>
                </c:pt>
                <c:pt idx="5">
                  <c:v>19.773469018581675</c:v>
                </c:pt>
                <c:pt idx="6">
                  <c:v>0</c:v>
                </c:pt>
                <c:pt idx="7">
                  <c:v>19.773469018581672</c:v>
                </c:pt>
                <c:pt idx="8">
                  <c:v>18.238826596210917</c:v>
                </c:pt>
                <c:pt idx="9">
                  <c:v>0</c:v>
                </c:pt>
                <c:pt idx="10">
                  <c:v>1.5346424223707618</c:v>
                </c:pt>
                <c:pt idx="11">
                  <c:v>-1.534642422370756</c:v>
                </c:pt>
                <c:pt idx="12">
                  <c:v>0</c:v>
                </c:pt>
                <c:pt idx="13">
                  <c:v>-18.23882659621092</c:v>
                </c:pt>
                <c:pt idx="14">
                  <c:v>-19.773469018581672</c:v>
                </c:pt>
                <c:pt idx="15">
                  <c:v>0</c:v>
                </c:pt>
                <c:pt idx="16">
                  <c:v>-19.773469018581675</c:v>
                </c:pt>
                <c:pt idx="17">
                  <c:v>-18.238826596210913</c:v>
                </c:pt>
                <c:pt idx="18">
                  <c:v>0</c:v>
                </c:pt>
              </c:numCache>
            </c:numRef>
          </c:yVal>
        </c:ser>
        <c:axId val="64519552"/>
        <c:axId val="64529536"/>
      </c:scatterChart>
      <c:valAx>
        <c:axId val="64519552"/>
        <c:scaling>
          <c:orientation val="minMax"/>
          <c:max val="22"/>
          <c:min val="-22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529536"/>
        <c:crosses val="autoZero"/>
        <c:crossBetween val="midCat"/>
        <c:majorUnit val="22"/>
        <c:minorUnit val="11"/>
      </c:valAx>
      <c:valAx>
        <c:axId val="64529536"/>
        <c:scaling>
          <c:orientation val="minMax"/>
          <c:max val="22"/>
          <c:min val="-2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519552"/>
        <c:crosses val="autoZero"/>
        <c:crossBetween val="midCat"/>
        <c:majorUnit val="22"/>
        <c:minorUnit val="11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47628083490195"/>
          <c:y val="0.12854053374047344"/>
          <c:w val="0.17836812144213246"/>
          <c:h val="0.1764710456944522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99" r="0.75000000000000999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5339107611548591"/>
          <c:y val="7.4548702245552642E-2"/>
          <c:w val="0.53397703412073494"/>
          <c:h val="0.79822506561679785"/>
        </c:manualLayout>
      </c:layout>
      <c:scatterChart>
        <c:scatterStyle val="smoothMarker"/>
        <c:ser>
          <c:idx val="1"/>
          <c:order val="0"/>
          <c:tx>
            <c:v>predicted</c:v>
          </c:tx>
          <c:xVal>
            <c:numRef>
              <c:f>thermal_fdc2!$C$75:$C$82</c:f>
              <c:numCache>
                <c:formatCode>0.00E+00</c:formatCode>
                <c:ptCount val="8"/>
                <c:pt idx="0">
                  <c:v>95.074637450355652</c:v>
                </c:pt>
                <c:pt idx="1">
                  <c:v>190.1492749007113</c:v>
                </c:pt>
                <c:pt idx="2">
                  <c:v>380.29854980142261</c:v>
                </c:pt>
                <c:pt idx="3">
                  <c:v>760.59709960284522</c:v>
                </c:pt>
                <c:pt idx="4">
                  <c:v>1140.8956494042677</c:v>
                </c:pt>
                <c:pt idx="5">
                  <c:v>1521.1941992056904</c:v>
                </c:pt>
                <c:pt idx="6">
                  <c:v>2129.6718788879666</c:v>
                </c:pt>
                <c:pt idx="7">
                  <c:v>3802.9854980142259</c:v>
                </c:pt>
              </c:numCache>
            </c:numRef>
          </c:xVal>
          <c:yVal>
            <c:numRef>
              <c:f>thermal_fdc2!$D$75:$D$82</c:f>
              <c:numCache>
                <c:formatCode>0.00E+00</c:formatCode>
                <c:ptCount val="8"/>
                <c:pt idx="0">
                  <c:v>1474.5706618694935</c:v>
                </c:pt>
                <c:pt idx="1">
                  <c:v>1714.6868429914457</c:v>
                </c:pt>
                <c:pt idx="2">
                  <c:v>2139.1538507485129</c:v>
                </c:pt>
                <c:pt idx="3">
                  <c:v>2798.197456824857</c:v>
                </c:pt>
                <c:pt idx="4">
                  <c:v>3261.3815656713023</c:v>
                </c:pt>
                <c:pt idx="5">
                  <c:v>3588.5570125886597</c:v>
                </c:pt>
                <c:pt idx="6">
                  <c:v>3949.1921599438856</c:v>
                </c:pt>
                <c:pt idx="7">
                  <c:v>4759.3656406027549</c:v>
                </c:pt>
              </c:numCache>
            </c:numRef>
          </c:yVal>
          <c:smooth val="1"/>
        </c:ser>
        <c:ser>
          <c:idx val="0"/>
          <c:order val="1"/>
          <c:tx>
            <c:v>actual data</c:v>
          </c:tx>
          <c:trendline>
            <c:trendlineType val="poly"/>
            <c:order val="4"/>
            <c:dispEq val="1"/>
            <c:trendlineLbl>
              <c:layout>
                <c:manualLayout>
                  <c:x val="0.3736150481189851"/>
                  <c:y val="-0.43137868183144534"/>
                </c:manualLayout>
              </c:layout>
              <c:numFmt formatCode="0.00000E+00" sourceLinked="0"/>
            </c:trendlineLbl>
          </c:trendline>
          <c:xVal>
            <c:numRef>
              <c:f>thermal_fdc2!$A$35:$A$63</c:f>
              <c:numCache>
                <c:formatCode>General</c:formatCode>
                <c:ptCount val="29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  <c:pt idx="7">
                  <c:v>400</c:v>
                </c:pt>
                <c:pt idx="8">
                  <c:v>450</c:v>
                </c:pt>
                <c:pt idx="9">
                  <c:v>500</c:v>
                </c:pt>
                <c:pt idx="10">
                  <c:v>750</c:v>
                </c:pt>
                <c:pt idx="11">
                  <c:v>1000</c:v>
                </c:pt>
                <c:pt idx="12">
                  <c:v>1250</c:v>
                </c:pt>
                <c:pt idx="13">
                  <c:v>1500</c:v>
                </c:pt>
                <c:pt idx="14">
                  <c:v>1750</c:v>
                </c:pt>
                <c:pt idx="15">
                  <c:v>2000</c:v>
                </c:pt>
                <c:pt idx="16">
                  <c:v>2250</c:v>
                </c:pt>
                <c:pt idx="17">
                  <c:v>2500</c:v>
                </c:pt>
                <c:pt idx="18">
                  <c:v>2750</c:v>
                </c:pt>
                <c:pt idx="19">
                  <c:v>3000</c:v>
                </c:pt>
                <c:pt idx="20">
                  <c:v>3250</c:v>
                </c:pt>
                <c:pt idx="21">
                  <c:v>3500</c:v>
                </c:pt>
                <c:pt idx="22">
                  <c:v>3750</c:v>
                </c:pt>
                <c:pt idx="23">
                  <c:v>4000</c:v>
                </c:pt>
                <c:pt idx="24">
                  <c:v>4250</c:v>
                </c:pt>
                <c:pt idx="25">
                  <c:v>4500</c:v>
                </c:pt>
                <c:pt idx="26">
                  <c:v>4750</c:v>
                </c:pt>
                <c:pt idx="27">
                  <c:v>5000</c:v>
                </c:pt>
                <c:pt idx="28">
                  <c:v>5250</c:v>
                </c:pt>
              </c:numCache>
            </c:numRef>
          </c:xVal>
          <c:yVal>
            <c:numRef>
              <c:f>thermal_fdc2!$I$35:$I$63</c:f>
              <c:numCache>
                <c:formatCode>0.00</c:formatCode>
                <c:ptCount val="29"/>
                <c:pt idx="0">
                  <c:v>1126.2021125748213</c:v>
                </c:pt>
                <c:pt idx="1">
                  <c:v>1418.9257152849466</c:v>
                </c:pt>
                <c:pt idx="2">
                  <c:v>1624.2644534591</c:v>
                </c:pt>
                <c:pt idx="3">
                  <c:v>1787.7343356192091</c:v>
                </c:pt>
                <c:pt idx="4">
                  <c:v>1925.7784202853952</c:v>
                </c:pt>
                <c:pt idx="5">
                  <c:v>2046.4449282261944</c:v>
                </c:pt>
                <c:pt idx="6">
                  <c:v>2154.3469995096543</c:v>
                </c:pt>
                <c:pt idx="7">
                  <c:v>2252.4040690248826</c:v>
                </c:pt>
                <c:pt idx="8">
                  <c:v>2342.5946242802083</c:v>
                </c:pt>
                <c:pt idx="9">
                  <c:v>2426.3287130907688</c:v>
                </c:pt>
                <c:pt idx="10">
                  <c:v>2777.452997452423</c:v>
                </c:pt>
                <c:pt idx="11">
                  <c:v>3056.9825489561026</c:v>
                </c:pt>
                <c:pt idx="12">
                  <c:v>3293.034600652577</c:v>
                </c:pt>
                <c:pt idx="13">
                  <c:v>3499.3714157312716</c:v>
                </c:pt>
                <c:pt idx="14">
                  <c:v>3683.8813523240074</c:v>
                </c:pt>
                <c:pt idx="15">
                  <c:v>3851.556573601225</c:v>
                </c:pt>
                <c:pt idx="16">
                  <c:v>4005.780245431466</c:v>
                </c:pt>
                <c:pt idx="17">
                  <c:v>4148.963515532927</c:v>
                </c:pt>
                <c:pt idx="18">
                  <c:v>4282.8925232318097</c:v>
                </c:pt>
                <c:pt idx="19">
                  <c:v>4408.9316062122989</c:v>
                </c:pt>
                <c:pt idx="20">
                  <c:v>4528.1492133320044</c:v>
                </c:pt>
                <c:pt idx="21">
                  <c:v>4641.3995538691061</c:v>
                </c:pt>
                <c:pt idx="22">
                  <c:v>4749.3775638744537</c:v>
                </c:pt>
                <c:pt idx="23">
                  <c:v>4852.6570898209693</c:v>
                </c:pt>
                <c:pt idx="24">
                  <c:v>4951.7181321242497</c:v>
                </c:pt>
                <c:pt idx="25">
                  <c:v>5046.9667358624629</c:v>
                </c:pt>
                <c:pt idx="26">
                  <c:v>5138.7498074048253</c:v>
                </c:pt>
                <c:pt idx="27">
                  <c:v>5227.3663476879592</c:v>
                </c:pt>
                <c:pt idx="28">
                  <c:v>5313.0761028857478</c:v>
                </c:pt>
              </c:numCache>
            </c:numRef>
          </c:yVal>
          <c:smooth val="1"/>
        </c:ser>
        <c:axId val="71016448"/>
        <c:axId val="71017984"/>
      </c:scatterChart>
      <c:valAx>
        <c:axId val="71016448"/>
        <c:scaling>
          <c:orientation val="minMax"/>
        </c:scaling>
        <c:axPos val="b"/>
        <c:numFmt formatCode="0.00E+00" sourceLinked="1"/>
        <c:tickLblPos val="nextTo"/>
        <c:crossAx val="71017984"/>
        <c:crosses val="autoZero"/>
        <c:crossBetween val="midCat"/>
      </c:valAx>
      <c:valAx>
        <c:axId val="71017984"/>
        <c:scaling>
          <c:orientation val="minMax"/>
        </c:scaling>
        <c:axPos val="l"/>
        <c:majorGridlines/>
        <c:numFmt formatCode="0.00E+00" sourceLinked="1"/>
        <c:tickLblPos val="nextTo"/>
        <c:crossAx val="71016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070175438596482"/>
          <c:y val="0.2673616720419173"/>
          <c:w val="0.24987295825771325"/>
          <c:h val="0.26690647063951262"/>
        </c:manualLayout>
      </c:layout>
    </c:legend>
    <c:plotVisOnly val="1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1516185476815398E-2"/>
          <c:y val="2.8252405949256338E-2"/>
          <c:w val="0.70005314960629916"/>
          <c:h val="0.79822506561679785"/>
        </c:manualLayout>
      </c:layout>
      <c:scatterChart>
        <c:scatterStyle val="smoothMarker"/>
        <c:ser>
          <c:idx val="0"/>
          <c:order val="0"/>
          <c:xVal>
            <c:numRef>
              <c:f>edge_cutting!$B$24:$B$25</c:f>
              <c:numCache>
                <c:formatCode>General</c:formatCode>
                <c:ptCount val="2"/>
                <c:pt idx="0">
                  <c:v>0</c:v>
                </c:pt>
                <c:pt idx="1">
                  <c:v>1.4</c:v>
                </c:pt>
              </c:numCache>
            </c:numRef>
          </c:xVal>
          <c:yVal>
            <c:numRef>
              <c:f>edge_cutting!$C$24:$C$25</c:f>
              <c:numCache>
                <c:formatCode>General</c:formatCode>
                <c:ptCount val="2"/>
                <c:pt idx="0">
                  <c:v>0.6</c:v>
                </c:pt>
                <c:pt idx="1">
                  <c:v>6.1999999999999993</c:v>
                </c:pt>
              </c:numCache>
            </c:numRef>
          </c:yVal>
          <c:smooth val="1"/>
        </c:ser>
        <c:ser>
          <c:idx val="1"/>
          <c:order val="1"/>
          <c:tx>
            <c:v>cut value</c:v>
          </c:tx>
          <c:xVal>
            <c:numRef>
              <c:f>edge_cutting!$B$27:$B$28</c:f>
              <c:numCache>
                <c:formatCode>General</c:formatCode>
                <c:ptCount val="2"/>
                <c:pt idx="0">
                  <c:v>0.35</c:v>
                </c:pt>
                <c:pt idx="1">
                  <c:v>0.35</c:v>
                </c:pt>
              </c:numCache>
            </c:numRef>
          </c:xVal>
          <c:yVal>
            <c:numRef>
              <c:f>edge_cutting!$C$27:$C$28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yVal>
          <c:smooth val="1"/>
        </c:ser>
        <c:ser>
          <c:idx val="2"/>
          <c:order val="2"/>
          <c:tx>
            <c:v>blade up</c:v>
          </c:tx>
          <c:xVal>
            <c:numRef>
              <c:f>edge_cutting!$B$30:$B$31</c:f>
              <c:numCache>
                <c:formatCode>General</c:formatCode>
                <c:ptCount val="2"/>
                <c:pt idx="0">
                  <c:v>1.335</c:v>
                </c:pt>
                <c:pt idx="1">
                  <c:v>1.335</c:v>
                </c:pt>
              </c:numCache>
            </c:numRef>
          </c:xVal>
          <c:yVal>
            <c:numRef>
              <c:f>edge_cutting!$C$30:$C$31</c:f>
              <c:numCache>
                <c:formatCode>General</c:formatCode>
                <c:ptCount val="2"/>
                <c:pt idx="0">
                  <c:v>0</c:v>
                </c:pt>
                <c:pt idx="1">
                  <c:v>5.9399999999999995</c:v>
                </c:pt>
              </c:numCache>
            </c:numRef>
          </c:yVal>
          <c:smooth val="1"/>
        </c:ser>
        <c:axId val="72578560"/>
        <c:axId val="72580096"/>
      </c:scatterChart>
      <c:valAx>
        <c:axId val="72578560"/>
        <c:scaling>
          <c:orientation val="minMax"/>
        </c:scaling>
        <c:axPos val="b"/>
        <c:numFmt formatCode="General" sourceLinked="1"/>
        <c:tickLblPos val="nextTo"/>
        <c:crossAx val="72580096"/>
        <c:crosses val="autoZero"/>
        <c:crossBetween val="midCat"/>
      </c:valAx>
      <c:valAx>
        <c:axId val="72580096"/>
        <c:scaling>
          <c:orientation val="minMax"/>
        </c:scaling>
        <c:axPos val="l"/>
        <c:majorGridlines/>
        <c:numFmt formatCode="General" sourceLinked="1"/>
        <c:tickLblPos val="nextTo"/>
        <c:crossAx val="7257856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1373708294144064E-2"/>
          <c:y val="1.7465844938396785E-2"/>
          <c:w val="0.63194209262080625"/>
          <c:h val="0.80446124234470695"/>
        </c:manualLayout>
      </c:layout>
      <c:scatterChart>
        <c:scatterStyle val="smoothMarker"/>
        <c:ser>
          <c:idx val="0"/>
          <c:order val="0"/>
          <c:tx>
            <c:v>78 mm circle</c:v>
          </c:tx>
          <c:trendline>
            <c:trendlineType val="linear"/>
            <c:dispEq val="1"/>
            <c:trendlineLbl>
              <c:layout>
                <c:manualLayout>
                  <c:x val="6.8520997375328102E-2"/>
                  <c:y val="-0.1070395888013999"/>
                </c:manualLayout>
              </c:layout>
              <c:numFmt formatCode="General" sourceLinked="0"/>
            </c:trendlineLbl>
          </c:trendline>
          <c:xVal>
            <c:numRef>
              <c:f>'wire deadening current'!$A$33:$A$44</c:f>
              <c:numCache>
                <c:formatCode>General</c:formatCode>
                <c:ptCount val="12"/>
                <c:pt idx="0">
                  <c:v>30</c:v>
                </c:pt>
                <c:pt idx="1">
                  <c:v>35</c:v>
                </c:pt>
                <c:pt idx="2">
                  <c:v>40</c:v>
                </c:pt>
                <c:pt idx="3">
                  <c:v>45</c:v>
                </c:pt>
                <c:pt idx="4">
                  <c:v>50</c:v>
                </c:pt>
                <c:pt idx="5">
                  <c:v>55</c:v>
                </c:pt>
                <c:pt idx="6">
                  <c:v>60</c:v>
                </c:pt>
                <c:pt idx="7">
                  <c:v>65</c:v>
                </c:pt>
                <c:pt idx="8">
                  <c:v>70</c:v>
                </c:pt>
                <c:pt idx="9">
                  <c:v>75</c:v>
                </c:pt>
                <c:pt idx="10">
                  <c:v>80</c:v>
                </c:pt>
                <c:pt idx="11">
                  <c:v>85</c:v>
                </c:pt>
              </c:numCache>
            </c:numRef>
          </c:xVal>
          <c:yVal>
            <c:numRef>
              <c:f>'wire deadening current'!$G$33:$G$44</c:f>
              <c:numCache>
                <c:formatCode>0</c:formatCode>
                <c:ptCount val="12"/>
                <c:pt idx="0">
                  <c:v>245.59293661284732</c:v>
                </c:pt>
                <c:pt idx="1">
                  <c:v>405.22834541119818</c:v>
                </c:pt>
                <c:pt idx="2">
                  <c:v>589.42304787083367</c:v>
                </c:pt>
                <c:pt idx="3">
                  <c:v>798.17704399175398</c:v>
                </c:pt>
                <c:pt idx="4">
                  <c:v>1031.490333773959</c:v>
                </c:pt>
                <c:pt idx="5">
                  <c:v>1289.3629172174487</c:v>
                </c:pt>
                <c:pt idx="6">
                  <c:v>1571.7947943222234</c:v>
                </c:pt>
                <c:pt idx="7">
                  <c:v>1878.7859650882824</c:v>
                </c:pt>
                <c:pt idx="8">
                  <c:v>2210.3364295156266</c:v>
                </c:pt>
                <c:pt idx="9">
                  <c:v>2566.4461876042546</c:v>
                </c:pt>
                <c:pt idx="10">
                  <c:v>2947.1152393541684</c:v>
                </c:pt>
                <c:pt idx="11">
                  <c:v>3352.3435847653668</c:v>
                </c:pt>
              </c:numCache>
            </c:numRef>
          </c:yVal>
          <c:smooth val="1"/>
        </c:ser>
        <c:ser>
          <c:idx val="1"/>
          <c:order val="1"/>
          <c:tx>
            <c:v>60 mm circle</c:v>
          </c:tx>
          <c:trendline>
            <c:trendlineType val="linear"/>
            <c:dispEq val="1"/>
            <c:trendlineLbl>
              <c:layout>
                <c:manualLayout>
                  <c:x val="0.10185433070866141"/>
                  <c:y val="0.31906204432779262"/>
                </c:manualLayout>
              </c:layout>
              <c:numFmt formatCode="General" sourceLinked="0"/>
            </c:trendlineLbl>
          </c:trendline>
          <c:xVal>
            <c:numRef>
              <c:f>'wire deadening current'!$A$33:$A$44</c:f>
              <c:numCache>
                <c:formatCode>General</c:formatCode>
                <c:ptCount val="12"/>
                <c:pt idx="0">
                  <c:v>30</c:v>
                </c:pt>
                <c:pt idx="1">
                  <c:v>35</c:v>
                </c:pt>
                <c:pt idx="2">
                  <c:v>40</c:v>
                </c:pt>
                <c:pt idx="3">
                  <c:v>45</c:v>
                </c:pt>
                <c:pt idx="4">
                  <c:v>50</c:v>
                </c:pt>
                <c:pt idx="5">
                  <c:v>55</c:v>
                </c:pt>
                <c:pt idx="6">
                  <c:v>60</c:v>
                </c:pt>
                <c:pt idx="7">
                  <c:v>65</c:v>
                </c:pt>
                <c:pt idx="8">
                  <c:v>70</c:v>
                </c:pt>
                <c:pt idx="9">
                  <c:v>75</c:v>
                </c:pt>
                <c:pt idx="10">
                  <c:v>80</c:v>
                </c:pt>
                <c:pt idx="11">
                  <c:v>85</c:v>
                </c:pt>
              </c:numCache>
            </c:numRef>
          </c:xVal>
          <c:yVal>
            <c:numRef>
              <c:f>'wire deadening current'!$H$33:$H$44</c:f>
              <c:numCache>
                <c:formatCode>0</c:formatCode>
                <c:ptCount val="12"/>
                <c:pt idx="0">
                  <c:v>145.45441030541281</c:v>
                </c:pt>
                <c:pt idx="1">
                  <c:v>239.99977700393117</c:v>
                </c:pt>
                <c:pt idx="2">
                  <c:v>349.09058473299069</c:v>
                </c:pt>
                <c:pt idx="3">
                  <c:v>472.72683349259171</c:v>
                </c:pt>
                <c:pt idx="4">
                  <c:v>610.90852328273377</c:v>
                </c:pt>
                <c:pt idx="5">
                  <c:v>763.63565410341732</c:v>
                </c:pt>
                <c:pt idx="6">
                  <c:v>930.90822595464226</c:v>
                </c:pt>
                <c:pt idx="7">
                  <c:v>1112.7262388364081</c:v>
                </c:pt>
                <c:pt idx="8">
                  <c:v>1309.0896927487152</c:v>
                </c:pt>
                <c:pt idx="9">
                  <c:v>1519.9985876915639</c:v>
                </c:pt>
                <c:pt idx="10">
                  <c:v>1745.4529236649539</c:v>
                </c:pt>
                <c:pt idx="11">
                  <c:v>1985.452700668885</c:v>
                </c:pt>
              </c:numCache>
            </c:numRef>
          </c:yVal>
          <c:smooth val="1"/>
        </c:ser>
        <c:axId val="74351360"/>
        <c:axId val="74353280"/>
      </c:scatterChart>
      <c:valAx>
        <c:axId val="74351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Final</a:t>
                </a:r>
                <a:r>
                  <a:rPr lang="en-US" baseline="0"/>
                  <a:t> diameter (microns)</a:t>
                </a:r>
              </a:p>
              <a:p>
                <a:pPr>
                  <a:defRPr/>
                </a:pPr>
                <a:endParaRPr lang="en-US"/>
              </a:p>
            </c:rich>
          </c:tx>
        </c:title>
        <c:numFmt formatCode="General" sourceLinked="1"/>
        <c:tickLblPos val="nextTo"/>
        <c:crossAx val="74353280"/>
        <c:crosses val="autoZero"/>
        <c:crossBetween val="midCat"/>
      </c:valAx>
      <c:valAx>
        <c:axId val="7435328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SECONDS</a:t>
                </a:r>
                <a:r>
                  <a:rPr lang="en-US" baseline="0"/>
                  <a:t> OF FORWARD PLATING</a:t>
                </a:r>
                <a:endParaRPr lang="en-US"/>
              </a:p>
            </c:rich>
          </c:tx>
        </c:title>
        <c:numFmt formatCode="0" sourceLinked="1"/>
        <c:tickLblPos val="nextTo"/>
        <c:crossAx val="74351360"/>
        <c:crosses val="autoZero"/>
        <c:crossBetween val="midCat"/>
      </c:valAx>
    </c:plotArea>
    <c:legend>
      <c:legendPos val="r"/>
      <c:spPr>
        <a:ln>
          <a:solidFill>
            <a:srgbClr val="FF0000"/>
          </a:solidFill>
        </a:ln>
      </c:spPr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v>deadened wire sag</c:v>
          </c:tx>
          <c:xVal>
            <c:numRef>
              <c:f>'sagging of deadened sense wires'!$A$31:$A$41</c:f>
              <c:numCache>
                <c:formatCode>General</c:formatCode>
                <c:ptCount val="11"/>
                <c:pt idx="0">
                  <c:v>0</c:v>
                </c:pt>
                <c:pt idx="1">
                  <c:v>3.8675000000000003E-3</c:v>
                </c:pt>
                <c:pt idx="2">
                  <c:v>7.7350000000000006E-3</c:v>
                </c:pt>
                <c:pt idx="3">
                  <c:v>1.1602500000000002E-2</c:v>
                </c:pt>
                <c:pt idx="4">
                  <c:v>1.5470000000000001E-2</c:v>
                </c:pt>
                <c:pt idx="5">
                  <c:v>1.9337500000000001E-2</c:v>
                </c:pt>
                <c:pt idx="6">
                  <c:v>2.3205E-2</c:v>
                </c:pt>
                <c:pt idx="7">
                  <c:v>2.7072499999999999E-2</c:v>
                </c:pt>
                <c:pt idx="8">
                  <c:v>3.0939999999999999E-2</c:v>
                </c:pt>
                <c:pt idx="9">
                  <c:v>3.4807499999999998E-2</c:v>
                </c:pt>
                <c:pt idx="10">
                  <c:v>3.8675000000000001E-2</c:v>
                </c:pt>
              </c:numCache>
            </c:numRef>
          </c:xVal>
          <c:yVal>
            <c:numRef>
              <c:f>'sagging of deadened sense wires'!$B$31:$B$41</c:f>
              <c:numCache>
                <c:formatCode>General</c:formatCode>
                <c:ptCount val="11"/>
                <c:pt idx="0">
                  <c:v>0</c:v>
                </c:pt>
                <c:pt idx="1">
                  <c:v>1.2592482799502895E-2</c:v>
                </c:pt>
                <c:pt idx="2">
                  <c:v>5.0369931198011579E-2</c:v>
                </c:pt>
                <c:pt idx="3">
                  <c:v>0.11333234519552607</c:v>
                </c:pt>
                <c:pt idx="4">
                  <c:v>0.20147972479204632</c:v>
                </c:pt>
                <c:pt idx="5">
                  <c:v>0.31481206998757233</c:v>
                </c:pt>
                <c:pt idx="6">
                  <c:v>0.45332938078210416</c:v>
                </c:pt>
                <c:pt idx="7">
                  <c:v>0.61703165717564168</c:v>
                </c:pt>
                <c:pt idx="8">
                  <c:v>0.80591889916818504</c:v>
                </c:pt>
                <c:pt idx="9">
                  <c:v>1.0199911067597343</c:v>
                </c:pt>
                <c:pt idx="10">
                  <c:v>1.2592482799502893</c:v>
                </c:pt>
              </c:numCache>
            </c:numRef>
          </c:yVal>
          <c:smooth val="1"/>
        </c:ser>
        <c:ser>
          <c:idx val="1"/>
          <c:order val="1"/>
          <c:tx>
            <c:v>undeadened wire remaining</c:v>
          </c:tx>
          <c:marker>
            <c:symbol val="none"/>
          </c:marker>
          <c:xVal>
            <c:numRef>
              <c:f>'sagging of deadened sense wires'!$A$31:$A$44</c:f>
              <c:numCache>
                <c:formatCode>General</c:formatCode>
                <c:ptCount val="14"/>
                <c:pt idx="0">
                  <c:v>0</c:v>
                </c:pt>
                <c:pt idx="1">
                  <c:v>3.8675000000000003E-3</c:v>
                </c:pt>
                <c:pt idx="2">
                  <c:v>7.7350000000000006E-3</c:v>
                </c:pt>
                <c:pt idx="3">
                  <c:v>1.1602500000000002E-2</c:v>
                </c:pt>
                <c:pt idx="4">
                  <c:v>1.5470000000000001E-2</c:v>
                </c:pt>
                <c:pt idx="5">
                  <c:v>1.9337500000000001E-2</c:v>
                </c:pt>
                <c:pt idx="6">
                  <c:v>2.3205E-2</c:v>
                </c:pt>
                <c:pt idx="7">
                  <c:v>2.7072499999999999E-2</c:v>
                </c:pt>
                <c:pt idx="8">
                  <c:v>3.0939999999999999E-2</c:v>
                </c:pt>
                <c:pt idx="9">
                  <c:v>3.4807499999999998E-2</c:v>
                </c:pt>
                <c:pt idx="10">
                  <c:v>3.8675000000000001E-2</c:v>
                </c:pt>
                <c:pt idx="11" formatCode="0.00E+00">
                  <c:v>0.16070999999999999</c:v>
                </c:pt>
                <c:pt idx="12" formatCode="0.00E+00">
                  <c:v>0.32141999999999998</c:v>
                </c:pt>
                <c:pt idx="13" formatCode="0.00E+00">
                  <c:v>0.48699999999999999</c:v>
                </c:pt>
              </c:numCache>
            </c:numRef>
          </c:xVal>
          <c:yVal>
            <c:numRef>
              <c:f>'sagging of deadened sense wires'!$D$31:$D$44</c:f>
              <c:numCache>
                <c:formatCode>General</c:formatCode>
                <c:ptCount val="14"/>
                <c:pt idx="0">
                  <c:v>-1.0260973719034143</c:v>
                </c:pt>
                <c:pt idx="1">
                  <c:v>-0.81854638844226257</c:v>
                </c:pt>
                <c:pt idx="2">
                  <c:v>-0.60633238682017354</c:v>
                </c:pt>
                <c:pt idx="3">
                  <c:v>-0.38945536703714678</c:v>
                </c:pt>
                <c:pt idx="4">
                  <c:v>-0.16791532909318266</c:v>
                </c:pt>
                <c:pt idx="5">
                  <c:v>5.8287727011718901E-2</c:v>
                </c:pt>
                <c:pt idx="6">
                  <c:v>0.28915380127755824</c:v>
                </c:pt>
                <c:pt idx="7">
                  <c:v>0.52468289370433496</c:v>
                </c:pt>
                <c:pt idx="8">
                  <c:v>0.76487500429204869</c:v>
                </c:pt>
                <c:pt idx="9">
                  <c:v>1.0097301330407003</c:v>
                </c:pt>
                <c:pt idx="10">
                  <c:v>1.2592482799502895</c:v>
                </c:pt>
                <c:pt idx="11">
                  <c:v>11.527481002155204</c:v>
                </c:pt>
                <c:pt idx="12">
                  <c:v>32.132846129388817</c:v>
                </c:pt>
                <c:pt idx="13">
                  <c:v>61.784090192402999</c:v>
                </c:pt>
              </c:numCache>
            </c:numRef>
          </c:yVal>
          <c:smooth val="1"/>
        </c:ser>
        <c:axId val="76726656"/>
        <c:axId val="76728192"/>
      </c:scatterChart>
      <c:valAx>
        <c:axId val="76726656"/>
        <c:scaling>
          <c:orientation val="minMax"/>
        </c:scaling>
        <c:axPos val="b"/>
        <c:numFmt formatCode="General" sourceLinked="1"/>
        <c:tickLblPos val="nextTo"/>
        <c:crossAx val="76728192"/>
        <c:crosses val="autoZero"/>
        <c:crossBetween val="midCat"/>
      </c:valAx>
      <c:valAx>
        <c:axId val="76728192"/>
        <c:scaling>
          <c:orientation val="minMax"/>
        </c:scaling>
        <c:axPos val="l"/>
        <c:majorGridlines/>
        <c:numFmt formatCode="General" sourceLinked="1"/>
        <c:tickLblPos val="nextTo"/>
        <c:crossAx val="7672665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v>deadened wire sag</c:v>
          </c:tx>
          <c:xVal>
            <c:numRef>
              <c:f>'sagging of deadened sense wires'!$A$31:$A$41</c:f>
              <c:numCache>
                <c:formatCode>General</c:formatCode>
                <c:ptCount val="11"/>
                <c:pt idx="0">
                  <c:v>0</c:v>
                </c:pt>
                <c:pt idx="1">
                  <c:v>3.8675000000000003E-3</c:v>
                </c:pt>
                <c:pt idx="2">
                  <c:v>7.7350000000000006E-3</c:v>
                </c:pt>
                <c:pt idx="3">
                  <c:v>1.1602500000000002E-2</c:v>
                </c:pt>
                <c:pt idx="4">
                  <c:v>1.5470000000000001E-2</c:v>
                </c:pt>
                <c:pt idx="5">
                  <c:v>1.9337500000000001E-2</c:v>
                </c:pt>
                <c:pt idx="6">
                  <c:v>2.3205E-2</c:v>
                </c:pt>
                <c:pt idx="7">
                  <c:v>2.7072499999999999E-2</c:v>
                </c:pt>
                <c:pt idx="8">
                  <c:v>3.0939999999999999E-2</c:v>
                </c:pt>
                <c:pt idx="9">
                  <c:v>3.4807499999999998E-2</c:v>
                </c:pt>
                <c:pt idx="10">
                  <c:v>3.8675000000000001E-2</c:v>
                </c:pt>
              </c:numCache>
            </c:numRef>
          </c:xVal>
          <c:yVal>
            <c:numRef>
              <c:f>'sagging of deadened sense wires'!$B$31:$B$41</c:f>
              <c:numCache>
                <c:formatCode>General</c:formatCode>
                <c:ptCount val="11"/>
                <c:pt idx="0">
                  <c:v>0</c:v>
                </c:pt>
                <c:pt idx="1">
                  <c:v>1.2592482799502895E-2</c:v>
                </c:pt>
                <c:pt idx="2">
                  <c:v>5.0369931198011579E-2</c:v>
                </c:pt>
                <c:pt idx="3">
                  <c:v>0.11333234519552607</c:v>
                </c:pt>
                <c:pt idx="4">
                  <c:v>0.20147972479204632</c:v>
                </c:pt>
                <c:pt idx="5">
                  <c:v>0.31481206998757233</c:v>
                </c:pt>
                <c:pt idx="6">
                  <c:v>0.45332938078210416</c:v>
                </c:pt>
                <c:pt idx="7">
                  <c:v>0.61703165717564168</c:v>
                </c:pt>
                <c:pt idx="8">
                  <c:v>0.80591889916818504</c:v>
                </c:pt>
                <c:pt idx="9">
                  <c:v>1.0199911067597343</c:v>
                </c:pt>
                <c:pt idx="10">
                  <c:v>1.2592482799502893</c:v>
                </c:pt>
              </c:numCache>
            </c:numRef>
          </c:yVal>
          <c:smooth val="1"/>
        </c:ser>
        <c:ser>
          <c:idx val="1"/>
          <c:order val="1"/>
          <c:tx>
            <c:v>undeadened wire remaining</c:v>
          </c:tx>
          <c:marker>
            <c:symbol val="none"/>
          </c:marker>
          <c:xVal>
            <c:numRef>
              <c:f>'sagging of deadened sense wires'!$A$31:$A$44</c:f>
              <c:numCache>
                <c:formatCode>General</c:formatCode>
                <c:ptCount val="14"/>
                <c:pt idx="0">
                  <c:v>0</c:v>
                </c:pt>
                <c:pt idx="1">
                  <c:v>3.8675000000000003E-3</c:v>
                </c:pt>
                <c:pt idx="2">
                  <c:v>7.7350000000000006E-3</c:v>
                </c:pt>
                <c:pt idx="3">
                  <c:v>1.1602500000000002E-2</c:v>
                </c:pt>
                <c:pt idx="4">
                  <c:v>1.5470000000000001E-2</c:v>
                </c:pt>
                <c:pt idx="5">
                  <c:v>1.9337500000000001E-2</c:v>
                </c:pt>
                <c:pt idx="6">
                  <c:v>2.3205E-2</c:v>
                </c:pt>
                <c:pt idx="7">
                  <c:v>2.7072499999999999E-2</c:v>
                </c:pt>
                <c:pt idx="8">
                  <c:v>3.0939999999999999E-2</c:v>
                </c:pt>
                <c:pt idx="9">
                  <c:v>3.4807499999999998E-2</c:v>
                </c:pt>
                <c:pt idx="10">
                  <c:v>3.8675000000000001E-2</c:v>
                </c:pt>
                <c:pt idx="11" formatCode="0.00E+00">
                  <c:v>0.16070999999999999</c:v>
                </c:pt>
                <c:pt idx="12" formatCode="0.00E+00">
                  <c:v>0.32141999999999998</c:v>
                </c:pt>
                <c:pt idx="13" formatCode="0.00E+00">
                  <c:v>0.48699999999999999</c:v>
                </c:pt>
              </c:numCache>
            </c:numRef>
          </c:xVal>
          <c:yVal>
            <c:numRef>
              <c:f>'sagging of deadened sense wires'!$D$31:$D$44</c:f>
              <c:numCache>
                <c:formatCode>General</c:formatCode>
                <c:ptCount val="14"/>
                <c:pt idx="0">
                  <c:v>-1.0260973719034143</c:v>
                </c:pt>
                <c:pt idx="1">
                  <c:v>-0.81854638844226257</c:v>
                </c:pt>
                <c:pt idx="2">
                  <c:v>-0.60633238682017354</c:v>
                </c:pt>
                <c:pt idx="3">
                  <c:v>-0.38945536703714678</c:v>
                </c:pt>
                <c:pt idx="4">
                  <c:v>-0.16791532909318266</c:v>
                </c:pt>
                <c:pt idx="5">
                  <c:v>5.8287727011718901E-2</c:v>
                </c:pt>
                <c:pt idx="6">
                  <c:v>0.28915380127755824</c:v>
                </c:pt>
                <c:pt idx="7">
                  <c:v>0.52468289370433496</c:v>
                </c:pt>
                <c:pt idx="8">
                  <c:v>0.76487500429204869</c:v>
                </c:pt>
                <c:pt idx="9">
                  <c:v>1.0097301330407003</c:v>
                </c:pt>
                <c:pt idx="10">
                  <c:v>1.2592482799502895</c:v>
                </c:pt>
                <c:pt idx="11">
                  <c:v>11.527481002155204</c:v>
                </c:pt>
                <c:pt idx="12">
                  <c:v>32.132846129388817</c:v>
                </c:pt>
                <c:pt idx="13">
                  <c:v>61.784090192402999</c:v>
                </c:pt>
              </c:numCache>
            </c:numRef>
          </c:yVal>
          <c:smooth val="1"/>
        </c:ser>
        <c:axId val="77158272"/>
        <c:axId val="77159808"/>
      </c:scatterChart>
      <c:valAx>
        <c:axId val="77158272"/>
        <c:scaling>
          <c:orientation val="minMax"/>
          <c:max val="6.0000000000000032E-2"/>
        </c:scaling>
        <c:axPos val="b"/>
        <c:numFmt formatCode="General" sourceLinked="1"/>
        <c:tickLblPos val="nextTo"/>
        <c:crossAx val="77159808"/>
        <c:crosses val="autoZero"/>
        <c:crossBetween val="midCat"/>
      </c:valAx>
      <c:valAx>
        <c:axId val="77159808"/>
        <c:scaling>
          <c:orientation val="minMax"/>
          <c:max val="3"/>
          <c:min val="-2"/>
        </c:scaling>
        <c:axPos val="l"/>
        <c:majorGridlines/>
        <c:numFmt formatCode="General" sourceLinked="1"/>
        <c:tickLblPos val="nextTo"/>
        <c:crossAx val="7715827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package preamp locations</a:t>
            </a:r>
          </a:p>
        </c:rich>
      </c:tx>
      <c:layout>
        <c:manualLayout>
          <c:xMode val="edge"/>
          <c:yMode val="edge"/>
          <c:x val="0.29939393939393938"/>
          <c:y val="2.61780104712049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2.3838383838383839E-2"/>
          <c:y val="0.11074748468941382"/>
          <c:w val="0.77212212609153263"/>
          <c:h val="0.87696335078534027"/>
        </c:manualLayout>
      </c:layout>
      <c:scatterChart>
        <c:scatterStyle val="lineMarker"/>
        <c:ser>
          <c:idx val="0"/>
          <c:order val="0"/>
          <c:tx>
            <c:v>wire board</c:v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'pre-amp_locations FINAL'!$D$29:$D$32</c:f>
              <c:numCache>
                <c:formatCode>General</c:formatCode>
                <c:ptCount val="4"/>
                <c:pt idx="0">
                  <c:v>2.7834620192013086</c:v>
                </c:pt>
                <c:pt idx="1">
                  <c:v>12.855752193730785</c:v>
                </c:pt>
                <c:pt idx="2">
                  <c:v>-12.855752193730792</c:v>
                </c:pt>
                <c:pt idx="3">
                  <c:v>-2.7834620192013175</c:v>
                </c:pt>
              </c:numCache>
            </c:numRef>
          </c:xVal>
          <c:yVal>
            <c:numRef>
              <c:f>'pre-amp_locations FINAL'!$E$29:$E$32</c:f>
              <c:numCache>
                <c:formatCode>General</c:formatCode>
                <c:ptCount val="4"/>
                <c:pt idx="0">
                  <c:v>-19.805361374831406</c:v>
                </c:pt>
                <c:pt idx="1">
                  <c:v>-15.32088886237956</c:v>
                </c:pt>
                <c:pt idx="2">
                  <c:v>-15.320888862379558</c:v>
                </c:pt>
                <c:pt idx="3">
                  <c:v>-19.805361374831406</c:v>
                </c:pt>
              </c:numCache>
            </c:numRef>
          </c:yVal>
        </c:ser>
        <c:ser>
          <c:idx val="1"/>
          <c:order val="1"/>
          <c:tx>
            <c:v>cath downstream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'pre-amp_locations FINAL'!$D$33:$D$41</c:f>
              <c:numCache>
                <c:formatCode>General</c:formatCode>
                <c:ptCount val="9"/>
                <c:pt idx="0">
                  <c:v>14.698291902999197</c:v>
                </c:pt>
                <c:pt idx="1">
                  <c:v>17.835950592104282</c:v>
                </c:pt>
                <c:pt idx="2">
                  <c:v>19.810189264766176</c:v>
                </c:pt>
                <c:pt idx="3">
                  <c:v>19.479519345581032</c:v>
                </c:pt>
                <c:pt idx="4">
                  <c:v>18.530572617436746</c:v>
                </c:pt>
                <c:pt idx="5">
                  <c:v>15.738700439226747</c:v>
                </c:pt>
                <c:pt idx="6">
                  <c:v>12.559261152986759</c:v>
                </c:pt>
                <c:pt idx="7">
                  <c:v>6.8404028665133776</c:v>
                </c:pt>
                <c:pt idx="8">
                  <c:v>-19.136271681152152</c:v>
                </c:pt>
              </c:numCache>
            </c:numRef>
          </c:xVal>
          <c:yVal>
            <c:numRef>
              <c:f>'pre-amp_locations FINAL'!$E$33:$E$41</c:f>
              <c:numCache>
                <c:formatCode>General</c:formatCode>
                <c:ptCount val="9"/>
                <c:pt idx="0">
                  <c:v>-13.563193397361413</c:v>
                </c:pt>
                <c:pt idx="1">
                  <c:v>-9.0486941862356538</c:v>
                </c:pt>
                <c:pt idx="2">
                  <c:v>-2.7488909207429351</c:v>
                </c:pt>
                <c:pt idx="3">
                  <c:v>4.5330261487370995</c:v>
                </c:pt>
                <c:pt idx="4">
                  <c:v>7.5244852627873104</c:v>
                </c:pt>
                <c:pt idx="5">
                  <c:v>12.340717502814972</c:v>
                </c:pt>
                <c:pt idx="6">
                  <c:v>15.564862970520419</c:v>
                </c:pt>
                <c:pt idx="7">
                  <c:v>18.793852415718167</c:v>
                </c:pt>
                <c:pt idx="8">
                  <c:v>-5.814043871965044</c:v>
                </c:pt>
              </c:numCache>
            </c:numRef>
          </c:yVal>
        </c:ser>
        <c:ser>
          <c:idx val="2"/>
          <c:order val="2"/>
          <c:tx>
            <c:v>cath upstream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'pre-amp_locations FINAL'!$D$42:$D$50</c:f>
              <c:numCache>
                <c:formatCode>General</c:formatCode>
                <c:ptCount val="9"/>
                <c:pt idx="0">
                  <c:v>19.126095119260707</c:v>
                </c:pt>
                <c:pt idx="1">
                  <c:v>-6.8404028665133731</c:v>
                </c:pt>
                <c:pt idx="2">
                  <c:v>-12.586407820996753</c:v>
                </c:pt>
                <c:pt idx="3">
                  <c:v>-15.760215072134443</c:v>
                </c:pt>
                <c:pt idx="4">
                  <c:v>-18.543677091335745</c:v>
                </c:pt>
                <c:pt idx="5">
                  <c:v>-19.487401295704704</c:v>
                </c:pt>
                <c:pt idx="6">
                  <c:v>-19.805361374831406</c:v>
                </c:pt>
                <c:pt idx="7">
                  <c:v>-17.820130483767358</c:v>
                </c:pt>
                <c:pt idx="8">
                  <c:v>-14.674597290057523</c:v>
                </c:pt>
              </c:numCache>
            </c:numRef>
          </c:xVal>
          <c:yVal>
            <c:numRef>
              <c:f>'pre-amp_locations FINAL'!$E$42:$E$50</c:f>
              <c:numCache>
                <c:formatCode>General</c:formatCode>
                <c:ptCount val="9"/>
                <c:pt idx="0">
                  <c:v>-5.8474340944547354</c:v>
                </c:pt>
                <c:pt idx="1">
                  <c:v>18.79385241571817</c:v>
                </c:pt>
                <c:pt idx="2">
                  <c:v>15.54291922913942</c:v>
                </c:pt>
                <c:pt idx="3">
                  <c:v>12.313229506513167</c:v>
                </c:pt>
                <c:pt idx="4">
                  <c:v>7.4921318683182445</c:v>
                </c:pt>
                <c:pt idx="5">
                  <c:v>4.4990210868773044</c:v>
                </c:pt>
                <c:pt idx="6">
                  <c:v>-2.7834620192013104</c:v>
                </c:pt>
                <c:pt idx="7">
                  <c:v>-9.0798099947909332</c:v>
                </c:pt>
                <c:pt idx="8">
                  <c:v>-13.58882608523033</c:v>
                </c:pt>
              </c:numCache>
            </c:numRef>
          </c:yVal>
        </c:ser>
        <c:ser>
          <c:idx val="3"/>
          <c:order val="3"/>
          <c:tx>
            <c:v>rails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'pre-amp_locations FINAL'!$J$31:$J$49</c:f>
              <c:numCache>
                <c:formatCode>General</c:formatCode>
                <c:ptCount val="19"/>
                <c:pt idx="0">
                  <c:v>0</c:v>
                </c:pt>
                <c:pt idx="1">
                  <c:v>32.9196136585742</c:v>
                </c:pt>
                <c:pt idx="2">
                  <c:v>32.9196136585742</c:v>
                </c:pt>
                <c:pt idx="3">
                  <c:v>0</c:v>
                </c:pt>
                <c:pt idx="4">
                  <c:v>18.453365814534646</c:v>
                </c:pt>
                <c:pt idx="5">
                  <c:v>14.466247844039556</c:v>
                </c:pt>
                <c:pt idx="6">
                  <c:v>0</c:v>
                </c:pt>
                <c:pt idx="7">
                  <c:v>-14.466247844039557</c:v>
                </c:pt>
                <c:pt idx="8">
                  <c:v>-18.453365814534642</c:v>
                </c:pt>
                <c:pt idx="9">
                  <c:v>0</c:v>
                </c:pt>
                <c:pt idx="10">
                  <c:v>-32.9196136585742</c:v>
                </c:pt>
                <c:pt idx="11">
                  <c:v>-32.9196136585742</c:v>
                </c:pt>
                <c:pt idx="12">
                  <c:v>0</c:v>
                </c:pt>
                <c:pt idx="13">
                  <c:v>-18.453365814534635</c:v>
                </c:pt>
                <c:pt idx="14">
                  <c:v>-14.466247844039565</c:v>
                </c:pt>
                <c:pt idx="15">
                  <c:v>0</c:v>
                </c:pt>
                <c:pt idx="16">
                  <c:v>14.466247844039554</c:v>
                </c:pt>
                <c:pt idx="17">
                  <c:v>18.453365814534653</c:v>
                </c:pt>
                <c:pt idx="18">
                  <c:v>0</c:v>
                </c:pt>
              </c:numCache>
            </c:numRef>
          </c:xVal>
          <c:yVal>
            <c:numRef>
              <c:f>'pre-amp_locations FINAL'!$K$31:$K$49</c:f>
              <c:numCache>
                <c:formatCode>General</c:formatCode>
                <c:ptCount val="19"/>
                <c:pt idx="0">
                  <c:v>0</c:v>
                </c:pt>
                <c:pt idx="1">
                  <c:v>-2.3019636335561349</c:v>
                </c:pt>
                <c:pt idx="2">
                  <c:v>2.3019636335561349</c:v>
                </c:pt>
                <c:pt idx="3">
                  <c:v>0</c:v>
                </c:pt>
                <c:pt idx="4">
                  <c:v>27.358239894316377</c:v>
                </c:pt>
                <c:pt idx="5">
                  <c:v>29.660203527872511</c:v>
                </c:pt>
                <c:pt idx="6">
                  <c:v>0</c:v>
                </c:pt>
                <c:pt idx="7">
                  <c:v>29.660203527872508</c:v>
                </c:pt>
                <c:pt idx="8">
                  <c:v>27.358239894316377</c:v>
                </c:pt>
                <c:pt idx="9">
                  <c:v>0</c:v>
                </c:pt>
                <c:pt idx="10">
                  <c:v>2.3019636335561424</c:v>
                </c:pt>
                <c:pt idx="11">
                  <c:v>-2.301963633556134</c:v>
                </c:pt>
                <c:pt idx="12">
                  <c:v>0</c:v>
                </c:pt>
                <c:pt idx="13">
                  <c:v>-27.35823989431638</c:v>
                </c:pt>
                <c:pt idx="14">
                  <c:v>-29.660203527872504</c:v>
                </c:pt>
                <c:pt idx="15">
                  <c:v>0</c:v>
                </c:pt>
                <c:pt idx="16">
                  <c:v>-29.660203527872511</c:v>
                </c:pt>
                <c:pt idx="17">
                  <c:v>-27.358239894316373</c:v>
                </c:pt>
                <c:pt idx="18">
                  <c:v>0</c:v>
                </c:pt>
              </c:numCache>
            </c:numRef>
          </c:yVal>
        </c:ser>
        <c:ser>
          <c:idx val="4"/>
          <c:order val="4"/>
          <c:tx>
            <c:v>cath2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'pre-amp_locations FINAL'!$D$55:$D$63</c:f>
              <c:numCache>
                <c:formatCode>General</c:formatCode>
                <c:ptCount val="9"/>
                <c:pt idx="0">
                  <c:v>21.482117988812941</c:v>
                </c:pt>
                <c:pt idx="1">
                  <c:v>18.848671123959875</c:v>
                </c:pt>
                <c:pt idx="2">
                  <c:v>13.821417002226227</c:v>
                </c:pt>
                <c:pt idx="3">
                  <c:v>6.5407993559606803</c:v>
                </c:pt>
                <c:pt idx="4">
                  <c:v>3.0925022858357996</c:v>
                </c:pt>
                <c:pt idx="5">
                  <c:v>-3.1702777185956088</c:v>
                </c:pt>
                <c:pt idx="6">
                  <c:v>-8.0999281827011522</c:v>
                </c:pt>
                <c:pt idx="7">
                  <c:v>-14.462721217947133</c:v>
                </c:pt>
                <c:pt idx="8">
                  <c:v>-5.0996544173292433</c:v>
                </c:pt>
              </c:numCache>
            </c:numRef>
          </c:xVal>
          <c:yVal>
            <c:numRef>
              <c:f>'pre-amp_locations FINAL'!$E$55:$E$63</c:f>
              <c:numCache>
                <c:formatCode>General</c:formatCode>
                <c:ptCount val="9"/>
                <c:pt idx="0">
                  <c:v>6.6909346667501843</c:v>
                </c:pt>
                <c:pt idx="1">
                  <c:v>12.287294122824653</c:v>
                </c:pt>
                <c:pt idx="2">
                  <c:v>17.754391908780537</c:v>
                </c:pt>
                <c:pt idx="3">
                  <c:v>21.528305641296168</c:v>
                </c:pt>
                <c:pt idx="4">
                  <c:v>22.286462922861947</c:v>
                </c:pt>
                <c:pt idx="5">
                  <c:v>22.275532298622547</c:v>
                </c:pt>
                <c:pt idx="6">
                  <c:v>20.991454533573506</c:v>
                </c:pt>
                <c:pt idx="7">
                  <c:v>17.235999970177005</c:v>
                </c:pt>
                <c:pt idx="8">
                  <c:v>-21.91445926377866</c:v>
                </c:pt>
              </c:numCache>
            </c:numRef>
          </c:yVal>
        </c:ser>
        <c:ser>
          <c:idx val="5"/>
          <c:order val="5"/>
          <c:tx>
            <c:v>wire2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'pre-amp_locations FINAL'!$D$51:$D$54</c:f>
              <c:numCache>
                <c:formatCode>General</c:formatCode>
                <c:ptCount val="4"/>
                <c:pt idx="0">
                  <c:v>20.861636727752717</c:v>
                </c:pt>
                <c:pt idx="1">
                  <c:v>22.15817444277468</c:v>
                </c:pt>
                <c:pt idx="2">
                  <c:v>7.6954532248275465</c:v>
                </c:pt>
                <c:pt idx="3">
                  <c:v>17.730241956151247</c:v>
                </c:pt>
              </c:numCache>
            </c:numRef>
          </c:xVal>
          <c:yVal>
            <c:numRef>
              <c:f>'pre-amp_locations FINAL'!$E$51:$E$54</c:f>
              <c:numCache>
                <c:formatCode>General</c:formatCode>
                <c:ptCount val="4"/>
                <c:pt idx="0">
                  <c:v>-8.4286483518580209</c:v>
                </c:pt>
                <c:pt idx="1">
                  <c:v>3.9070839975059326</c:v>
                </c:pt>
                <c:pt idx="2">
                  <c:v>-21.143083967682937</c:v>
                </c:pt>
                <c:pt idx="3">
                  <c:v>-13.852383194827311</c:v>
                </c:pt>
              </c:numCache>
            </c:numRef>
          </c:yVal>
        </c:ser>
        <c:ser>
          <c:idx val="6"/>
          <c:order val="6"/>
          <c:tx>
            <c:v>cath2mir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'pre-amp_locations FINAL'!$D$64:$D$72</c:f>
              <c:numCache>
                <c:formatCode>General</c:formatCode>
                <c:ptCount val="9"/>
                <c:pt idx="0">
                  <c:v>16.455458286431337</c:v>
                </c:pt>
                <c:pt idx="1">
                  <c:v>-22.15817444277468</c:v>
                </c:pt>
                <c:pt idx="2">
                  <c:v>-22.222987663390601</c:v>
                </c:pt>
                <c:pt idx="3">
                  <c:v>-20.861636727752717</c:v>
                </c:pt>
                <c:pt idx="4">
                  <c:v>-17.730241956151239</c:v>
                </c:pt>
                <c:pt idx="5">
                  <c:v>-15.344963101406211</c:v>
                </c:pt>
                <c:pt idx="6">
                  <c:v>-8.428648351858028</c:v>
                </c:pt>
                <c:pt idx="7">
                  <c:v>-1.1775590154662483</c:v>
                </c:pt>
                <c:pt idx="8">
                  <c:v>4.9848411964380182</c:v>
                </c:pt>
              </c:numCache>
            </c:numRef>
          </c:xVal>
          <c:yVal>
            <c:numRef>
              <c:f>'pre-amp_locations FINAL'!$E$64:$E$72</c:f>
              <c:numCache>
                <c:formatCode>General</c:formatCode>
                <c:ptCount val="9"/>
                <c:pt idx="0">
                  <c:v>15.344963101406215</c:v>
                </c:pt>
                <c:pt idx="1">
                  <c:v>3.9070839975059313</c:v>
                </c:pt>
                <c:pt idx="2">
                  <c:v>-3.5197754634051917</c:v>
                </c:pt>
                <c:pt idx="3">
                  <c:v>-8.4286483518580209</c:v>
                </c:pt>
                <c:pt idx="4">
                  <c:v>-13.85238319482731</c:v>
                </c:pt>
                <c:pt idx="5">
                  <c:v>-16.455458286431334</c:v>
                </c:pt>
                <c:pt idx="6">
                  <c:v>-20.861636727752714</c:v>
                </c:pt>
                <c:pt idx="7">
                  <c:v>-22.46916453197791</c:v>
                </c:pt>
                <c:pt idx="8">
                  <c:v>-21.940860471875173</c:v>
                </c:pt>
              </c:numCache>
            </c:numRef>
          </c:yVal>
        </c:ser>
        <c:ser>
          <c:idx val="7"/>
          <c:order val="7"/>
          <c:tx>
            <c:v>cath3mir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'pre-amp_locations FINAL'!$D$86:$D$94</c:f>
              <c:numCache>
                <c:formatCode>General</c:formatCode>
                <c:ptCount val="9"/>
                <c:pt idx="0">
                  <c:v>-5.6237763585966247</c:v>
                </c:pt>
                <c:pt idx="1">
                  <c:v>-16.069690242163489</c:v>
                </c:pt>
                <c:pt idx="2">
                  <c:v>-8.9591987386325194</c:v>
                </c:pt>
                <c:pt idx="3">
                  <c:v>-3.479327524001647</c:v>
                </c:pt>
                <c:pt idx="4">
                  <c:v>3.4793275240016359</c:v>
                </c:pt>
                <c:pt idx="5">
                  <c:v>7.3092926180684188</c:v>
                </c:pt>
                <c:pt idx="6">
                  <c:v>15.391536883141457</c:v>
                </c:pt>
                <c:pt idx="7">
                  <c:v>20.966764198635602</c:v>
                </c:pt>
                <c:pt idx="8">
                  <c:v>23.881959053058594</c:v>
                </c:pt>
              </c:numCache>
            </c:numRef>
          </c:xVal>
          <c:yVal>
            <c:numRef>
              <c:f>'pre-amp_locations FINAL'!$E$86:$E$94</c:f>
              <c:numCache>
                <c:formatCode>General</c:formatCode>
                <c:ptCount val="9"/>
                <c:pt idx="0">
                  <c:v>24.359251619630882</c:v>
                </c:pt>
                <c:pt idx="1">
                  <c:v>-19.151111077974448</c:v>
                </c:pt>
                <c:pt idx="2">
                  <c:v>-23.33951066243004</c:v>
                </c:pt>
                <c:pt idx="3">
                  <c:v>-24.756701718539258</c:v>
                </c:pt>
                <c:pt idx="4">
                  <c:v>-24.756701718539258</c:v>
                </c:pt>
                <c:pt idx="5">
                  <c:v>-23.907618899075885</c:v>
                </c:pt>
                <c:pt idx="6">
                  <c:v>-19.70026884016805</c:v>
                </c:pt>
                <c:pt idx="7">
                  <c:v>-13.615975875375677</c:v>
                </c:pt>
                <c:pt idx="8">
                  <c:v>-7.3927012511011618</c:v>
                </c:pt>
              </c:numCache>
            </c:numRef>
          </c:yVal>
        </c:ser>
        <c:ser>
          <c:idx val="8"/>
          <c:order val="8"/>
          <c:tx>
            <c:v>wire3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'pre-amp_locations FINAL'!$D$73:$D$76</c:f>
              <c:numCache>
                <c:formatCode>General</c:formatCode>
                <c:ptCount val="4"/>
                <c:pt idx="0">
                  <c:v>19.70026884016805</c:v>
                </c:pt>
                <c:pt idx="1">
                  <c:v>8.5505035831417224</c:v>
                </c:pt>
                <c:pt idx="2">
                  <c:v>24.620193825305201</c:v>
                </c:pt>
                <c:pt idx="3">
                  <c:v>23.179596364169686</c:v>
                </c:pt>
              </c:numCache>
            </c:numRef>
          </c:xVal>
          <c:yVal>
            <c:numRef>
              <c:f>'pre-amp_locations FINAL'!$E$73:$E$76</c:f>
              <c:numCache>
                <c:formatCode>General</c:formatCode>
                <c:ptCount val="4"/>
                <c:pt idx="0">
                  <c:v>15.391536883141457</c:v>
                </c:pt>
                <c:pt idx="1">
                  <c:v>23.492315519647708</c:v>
                </c:pt>
                <c:pt idx="2">
                  <c:v>-4.3412044416732583</c:v>
                </c:pt>
                <c:pt idx="3">
                  <c:v>9.3651648353978008</c:v>
                </c:pt>
              </c:numCache>
            </c:numRef>
          </c:yVal>
        </c:ser>
        <c:ser>
          <c:idx val="9"/>
          <c:order val="9"/>
          <c:tx>
            <c:v>cath3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'pre-amp_locations FINAL'!$D$77:$D$85</c:f>
              <c:numCache>
                <c:formatCode>General</c:formatCode>
                <c:ptCount val="9"/>
                <c:pt idx="0">
                  <c:v>5.4961551088209299</c:v>
                </c:pt>
                <c:pt idx="1">
                  <c:v>-1.3519703246193839</c:v>
                </c:pt>
                <c:pt idx="2">
                  <c:v>-9.4056065784841358</c:v>
                </c:pt>
                <c:pt idx="3">
                  <c:v>-17.081844342019973</c:v>
                </c:pt>
                <c:pt idx="4">
                  <c:v>-19.727102120867269</c:v>
                </c:pt>
                <c:pt idx="5">
                  <c:v>-23.195906347472999</c:v>
                </c:pt>
                <c:pt idx="6">
                  <c:v>-24.698996644234729</c:v>
                </c:pt>
                <c:pt idx="7">
                  <c:v>-24.620193825305204</c:v>
                </c:pt>
                <c:pt idx="8">
                  <c:v>18.254056915518802</c:v>
                </c:pt>
              </c:numCache>
            </c:numRef>
          </c:xVal>
          <c:yVal>
            <c:numRef>
              <c:f>'pre-amp_locations FINAL'!$E$77:$E$85</c:f>
              <c:numCache>
                <c:formatCode>General</c:formatCode>
                <c:ptCount val="9"/>
                <c:pt idx="0">
                  <c:v>24.388363598646414</c:v>
                </c:pt>
                <c:pt idx="1">
                  <c:v>24.963416758155294</c:v>
                </c:pt>
                <c:pt idx="2">
                  <c:v>23.163215771795933</c:v>
                </c:pt>
                <c:pt idx="3">
                  <c:v>18.254056915518813</c:v>
                </c:pt>
                <c:pt idx="4">
                  <c:v>15.357130002473586</c:v>
                </c:pt>
                <c:pt idx="5">
                  <c:v>9.3246945643952301</c:v>
                </c:pt>
                <c:pt idx="6">
                  <c:v>3.8677596574866966</c:v>
                </c:pt>
                <c:pt idx="7">
                  <c:v>-4.3412044416732618</c:v>
                </c:pt>
                <c:pt idx="8">
                  <c:v>-17.081844342019988</c:v>
                </c:pt>
              </c:numCache>
            </c:numRef>
          </c:yVal>
        </c:ser>
        <c:ser>
          <c:idx val="10"/>
          <c:order val="10"/>
          <c:tx>
            <c:v>wireboard4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FFFF"/>
              </a:solidFill>
            </c:spPr>
          </c:marker>
          <c:xVal>
            <c:numRef>
              <c:f>'pre-amp_locations FINAL'!$D$95:$D$98</c:f>
              <c:numCache>
                <c:formatCode>General</c:formatCode>
                <c:ptCount val="4"/>
                <c:pt idx="0">
                  <c:v>-3.8272602764018018</c:v>
                </c:pt>
                <c:pt idx="1">
                  <c:v>-17.676659266379829</c:v>
                </c:pt>
                <c:pt idx="2">
                  <c:v>17.676659266379836</c:v>
                </c:pt>
                <c:pt idx="3">
                  <c:v>3.8272602764017964</c:v>
                </c:pt>
              </c:numCache>
            </c:numRef>
          </c:xVal>
          <c:yVal>
            <c:numRef>
              <c:f>'pre-amp_locations FINAL'!$E$95:$E$98</c:f>
              <c:numCache>
                <c:formatCode>General</c:formatCode>
                <c:ptCount val="4"/>
                <c:pt idx="0">
                  <c:v>27.232371890393186</c:v>
                </c:pt>
                <c:pt idx="1">
                  <c:v>21.066222185771895</c:v>
                </c:pt>
                <c:pt idx="2">
                  <c:v>21.066222185771895</c:v>
                </c:pt>
                <c:pt idx="3">
                  <c:v>27.232371890393186</c:v>
                </c:pt>
              </c:numCache>
            </c:numRef>
          </c:yVal>
        </c:ser>
        <c:ser>
          <c:idx val="11"/>
          <c:order val="11"/>
          <c:tx>
            <c:v>dnstrm4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FF00"/>
              </a:solidFill>
            </c:spPr>
          </c:marker>
          <c:xVal>
            <c:numRef>
              <c:f>'pre-amp_locations FINAL'!$D$99:$D$107</c:f>
              <c:numCache>
                <c:formatCode>General</c:formatCode>
                <c:ptCount val="9"/>
                <c:pt idx="0">
                  <c:v>-20.210151366623897</c:v>
                </c:pt>
                <c:pt idx="1">
                  <c:v>-24.524432064143383</c:v>
                </c:pt>
                <c:pt idx="2">
                  <c:v>-27.239010239053496</c:v>
                </c:pt>
                <c:pt idx="3">
                  <c:v>-26.784339100173916</c:v>
                </c:pt>
                <c:pt idx="4">
                  <c:v>-25.479537348975519</c:v>
                </c:pt>
                <c:pt idx="5">
                  <c:v>-21.640713103936775</c:v>
                </c:pt>
                <c:pt idx="6">
                  <c:v>-17.268984085356788</c:v>
                </c:pt>
                <c:pt idx="7">
                  <c:v>-9.4055539414558869</c:v>
                </c:pt>
                <c:pt idx="8">
                  <c:v>26.312373561584206</c:v>
                </c:pt>
              </c:numCache>
            </c:numRef>
          </c:xVal>
          <c:yVal>
            <c:numRef>
              <c:f>'pre-amp_locations FINAL'!$E$99:$E$107</c:f>
              <c:numCache>
                <c:formatCode>General</c:formatCode>
                <c:ptCount val="9"/>
                <c:pt idx="0">
                  <c:v>18.649390921371939</c:v>
                </c:pt>
                <c:pt idx="1">
                  <c:v>12.44195450607403</c:v>
                </c:pt>
                <c:pt idx="2">
                  <c:v>3.7797250160215206</c:v>
                </c:pt>
                <c:pt idx="3">
                  <c:v>-6.232910954513522</c:v>
                </c:pt>
                <c:pt idx="4">
                  <c:v>-10.346167236332562</c:v>
                </c:pt>
                <c:pt idx="5">
                  <c:v>-16.968486566370593</c:v>
                </c:pt>
                <c:pt idx="6">
                  <c:v>-21.401686584465583</c:v>
                </c:pt>
                <c:pt idx="7">
                  <c:v>-25.841547071612482</c:v>
                </c:pt>
                <c:pt idx="8">
                  <c:v>7.9943103239519315</c:v>
                </c:pt>
              </c:numCache>
            </c:numRef>
          </c:yVal>
        </c:ser>
        <c:ser>
          <c:idx val="12"/>
          <c:order val="12"/>
          <c:tx>
            <c:v>cath4 upstrm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FF6600"/>
              </a:solidFill>
            </c:spPr>
          </c:marker>
          <c:xVal>
            <c:numRef>
              <c:f>'pre-amp_locations FINAL'!$D$108:$D$116</c:f>
              <c:numCache>
                <c:formatCode>General</c:formatCode>
                <c:ptCount val="9"/>
                <c:pt idx="0">
                  <c:v>-26.298380788983472</c:v>
                </c:pt>
                <c:pt idx="1">
                  <c:v>9.4055539414558904</c:v>
                </c:pt>
                <c:pt idx="2">
                  <c:v>17.306310753870527</c:v>
                </c:pt>
                <c:pt idx="3">
                  <c:v>21.670295724184854</c:v>
                </c:pt>
                <c:pt idx="4">
                  <c:v>25.497556000586656</c:v>
                </c:pt>
                <c:pt idx="5">
                  <c:v>26.79517678159397</c:v>
                </c:pt>
                <c:pt idx="6">
                  <c:v>27.232371890393186</c:v>
                </c:pt>
                <c:pt idx="7">
                  <c:v>24.502679415180118</c:v>
                </c:pt>
                <c:pt idx="8">
                  <c:v>20.177571273829098</c:v>
                </c:pt>
              </c:numCache>
            </c:numRef>
          </c:xVal>
          <c:yVal>
            <c:numRef>
              <c:f>'pre-amp_locations FINAL'!$E$108:$E$116</c:f>
              <c:numCache>
                <c:formatCode>General</c:formatCode>
                <c:ptCount val="9"/>
                <c:pt idx="0">
                  <c:v>8.0402218798752561</c:v>
                </c:pt>
                <c:pt idx="1">
                  <c:v>-25.841547071612478</c:v>
                </c:pt>
                <c:pt idx="2">
                  <c:v>-21.371513940066698</c:v>
                </c:pt>
                <c:pt idx="3">
                  <c:v>-16.930690571455603</c:v>
                </c:pt>
                <c:pt idx="4">
                  <c:v>-10.301681318937581</c:v>
                </c:pt>
                <c:pt idx="5">
                  <c:v>-6.186153994456288</c:v>
                </c:pt>
                <c:pt idx="6">
                  <c:v>3.8272602764017996</c:v>
                </c:pt>
                <c:pt idx="7">
                  <c:v>12.484738742837536</c:v>
                </c:pt>
                <c:pt idx="8">
                  <c:v>18.684635867191705</c:v>
                </c:pt>
              </c:numCache>
            </c:numRef>
          </c:yVal>
        </c:ser>
        <c:ser>
          <c:idx val="13"/>
          <c:order val="13"/>
          <c:tx>
            <c:v>wirebrd5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FFFF"/>
              </a:solidFill>
            </c:spPr>
          </c:marker>
          <c:xVal>
            <c:numRef>
              <c:f>'pre-amp_locations FINAL'!$D$117:$D$120</c:f>
              <c:numCache>
                <c:formatCode>General</c:formatCode>
                <c:ptCount val="4"/>
                <c:pt idx="0">
                  <c:v>-27.815515637003621</c:v>
                </c:pt>
                <c:pt idx="1">
                  <c:v>-29.544232590366242</c:v>
                </c:pt>
                <c:pt idx="2">
                  <c:v>-10.26060429977006</c:v>
                </c:pt>
                <c:pt idx="3">
                  <c:v>-23.640322608201664</c:v>
                </c:pt>
              </c:numCache>
            </c:numRef>
          </c:xVal>
          <c:yVal>
            <c:numRef>
              <c:f>'pre-amp_locations FINAL'!$E$117:$E$120</c:f>
              <c:numCache>
                <c:formatCode>General</c:formatCode>
                <c:ptCount val="4"/>
                <c:pt idx="0">
                  <c:v>11.238197802477368</c:v>
                </c:pt>
                <c:pt idx="1">
                  <c:v>-5.209445330007914</c:v>
                </c:pt>
                <c:pt idx="2">
                  <c:v>28.190778623577252</c:v>
                </c:pt>
                <c:pt idx="3">
                  <c:v>18.469844259769751</c:v>
                </c:pt>
              </c:numCache>
            </c:numRef>
          </c:yVal>
        </c:ser>
        <c:ser>
          <c:idx val="14"/>
          <c:order val="14"/>
          <c:tx>
            <c:v>cath5dnstrm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FF00"/>
              </a:solidFill>
            </c:spPr>
          </c:marker>
          <c:xVal>
            <c:numRef>
              <c:f>'pre-amp_locations FINAL'!$D$121:$D$129</c:f>
              <c:numCache>
                <c:formatCode>General</c:formatCode>
                <c:ptCount val="9"/>
                <c:pt idx="0">
                  <c:v>-28.642823985083929</c:v>
                </c:pt>
                <c:pt idx="1">
                  <c:v>-25.131561498613159</c:v>
                </c:pt>
                <c:pt idx="2">
                  <c:v>-18.428556002968296</c:v>
                </c:pt>
                <c:pt idx="3">
                  <c:v>-8.7210658079475643</c:v>
                </c:pt>
                <c:pt idx="4">
                  <c:v>-4.123336381114389</c:v>
                </c:pt>
                <c:pt idx="5">
                  <c:v>4.227036958127492</c:v>
                </c:pt>
                <c:pt idx="6">
                  <c:v>10.799904243601548</c:v>
                </c:pt>
                <c:pt idx="7">
                  <c:v>19.283628290596177</c:v>
                </c:pt>
                <c:pt idx="8">
                  <c:v>6.7995392231056675</c:v>
                </c:pt>
              </c:numCache>
            </c:numRef>
          </c:xVal>
          <c:yVal>
            <c:numRef>
              <c:f>'pre-amp_locations FINAL'!$E$121:$E$129</c:f>
              <c:numCache>
                <c:formatCode>General</c:formatCode>
                <c:ptCount val="9"/>
                <c:pt idx="0">
                  <c:v>-8.9212462223335844</c:v>
                </c:pt>
                <c:pt idx="1">
                  <c:v>-16.38305883043288</c:v>
                </c:pt>
                <c:pt idx="2">
                  <c:v>-23.672522545040721</c:v>
                </c:pt>
                <c:pt idx="3">
                  <c:v>-28.704407521728225</c:v>
                </c:pt>
                <c:pt idx="4">
                  <c:v>-29.715283897149266</c:v>
                </c:pt>
                <c:pt idx="5">
                  <c:v>-29.700709731496726</c:v>
                </c:pt>
                <c:pt idx="6">
                  <c:v>-27.988606044764669</c:v>
                </c:pt>
                <c:pt idx="7">
                  <c:v>-22.981333293569339</c:v>
                </c:pt>
                <c:pt idx="8">
                  <c:v>29.219279018371545</c:v>
                </c:pt>
              </c:numCache>
            </c:numRef>
          </c:yVal>
        </c:ser>
        <c:ser>
          <c:idx val="15"/>
          <c:order val="15"/>
          <c:tx>
            <c:v>cath5upstrm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FF6600"/>
              </a:solidFill>
            </c:spPr>
          </c:marker>
          <c:xVal>
            <c:numRef>
              <c:f>'pre-amp_locations FINAL'!$D$130:$D$138</c:f>
              <c:numCache>
                <c:formatCode>General</c:formatCode>
                <c:ptCount val="9"/>
                <c:pt idx="0">
                  <c:v>-21.940611048575111</c:v>
                </c:pt>
                <c:pt idx="1">
                  <c:v>29.544232590366242</c:v>
                </c:pt>
                <c:pt idx="2">
                  <c:v>29.630650217854132</c:v>
                </c:pt>
                <c:pt idx="3">
                  <c:v>27.815515637003621</c:v>
                </c:pt>
                <c:pt idx="4">
                  <c:v>23.640322608201661</c:v>
                </c:pt>
                <c:pt idx="5">
                  <c:v>20.459950801874957</c:v>
                </c:pt>
                <c:pt idx="6">
                  <c:v>11.238197802477368</c:v>
                </c:pt>
                <c:pt idx="7">
                  <c:v>1.5700786872883141</c:v>
                </c:pt>
                <c:pt idx="8">
                  <c:v>-6.6464549285840242</c:v>
                </c:pt>
              </c:numCache>
            </c:numRef>
          </c:xVal>
          <c:yVal>
            <c:numRef>
              <c:f>'pre-amp_locations FINAL'!$E$130:$E$138</c:f>
              <c:numCache>
                <c:formatCode>General</c:formatCode>
                <c:ptCount val="9"/>
                <c:pt idx="0">
                  <c:v>-20.45995080187495</c:v>
                </c:pt>
                <c:pt idx="1">
                  <c:v>-5.2094453300079095</c:v>
                </c:pt>
                <c:pt idx="2">
                  <c:v>4.6930339512069263</c:v>
                </c:pt>
                <c:pt idx="3">
                  <c:v>11.238197802477361</c:v>
                </c:pt>
                <c:pt idx="4">
                  <c:v>18.469844259769747</c:v>
                </c:pt>
                <c:pt idx="5">
                  <c:v>21.940611048575114</c:v>
                </c:pt>
                <c:pt idx="6">
                  <c:v>27.815515637003621</c:v>
                </c:pt>
                <c:pt idx="7">
                  <c:v>29.958886042637214</c:v>
                </c:pt>
                <c:pt idx="8">
                  <c:v>29.254480629166896</c:v>
                </c:pt>
              </c:numCache>
            </c:numRef>
          </c:yVal>
        </c:ser>
        <c:ser>
          <c:idx val="16"/>
          <c:order val="16"/>
          <c:tx>
            <c:v>wirebrd6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FFFF"/>
              </a:solidFill>
            </c:spPr>
          </c:marker>
          <c:xVal>
            <c:numRef>
              <c:f>'pre-amp_locations FINAL'!$D$139:$D$142</c:f>
              <c:numCache>
                <c:formatCode>General</c:formatCode>
                <c:ptCount val="4"/>
                <c:pt idx="0">
                  <c:v>-25.610349492218457</c:v>
                </c:pt>
                <c:pt idx="1">
                  <c:v>-11.11565465808423</c:v>
                </c:pt>
                <c:pt idx="2">
                  <c:v>-32.006251972896763</c:v>
                </c:pt>
                <c:pt idx="3">
                  <c:v>-30.13347527342059</c:v>
                </c:pt>
              </c:numCache>
            </c:numRef>
          </c:xVal>
          <c:yVal>
            <c:numRef>
              <c:f>'pre-amp_locations FINAL'!$E$139:$E$142</c:f>
              <c:numCache>
                <c:formatCode>General</c:formatCode>
                <c:ptCount val="4"/>
                <c:pt idx="0">
                  <c:v>-20.008997948083891</c:v>
                </c:pt>
                <c:pt idx="1">
                  <c:v>-30.540010175542022</c:v>
                </c:pt>
                <c:pt idx="2">
                  <c:v>5.6435657741752339</c:v>
                </c:pt>
                <c:pt idx="3">
                  <c:v>-12.17471428601714</c:v>
                </c:pt>
              </c:numCache>
            </c:numRef>
          </c:yVal>
        </c:ser>
        <c:ser>
          <c:idx val="17"/>
          <c:order val="17"/>
          <c:tx>
            <c:v>cath6dnstrm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FF00"/>
              </a:solidFill>
            </c:spPr>
          </c:marker>
          <c:xVal>
            <c:numRef>
              <c:f>'pre-amp_locations FINAL'!$D$143:$D$151</c:f>
              <c:numCache>
                <c:formatCode>General</c:formatCode>
                <c:ptCount val="9"/>
                <c:pt idx="0">
                  <c:v>-7.1450016414672124</c:v>
                </c:pt>
                <c:pt idx="1">
                  <c:v>1.7575614220052098</c:v>
                </c:pt>
                <c:pt idx="2">
                  <c:v>12.227288552029394</c:v>
                </c:pt>
                <c:pt idx="3">
                  <c:v>22.206397644625984</c:v>
                </c:pt>
                <c:pt idx="4">
                  <c:v>25.645232757127452</c:v>
                </c:pt>
                <c:pt idx="5">
                  <c:v>30.154678251714902</c:v>
                </c:pt>
                <c:pt idx="6">
                  <c:v>32.10869563750515</c:v>
                </c:pt>
                <c:pt idx="7">
                  <c:v>32.006251972896763</c:v>
                </c:pt>
                <c:pt idx="8">
                  <c:v>-23.730273990174442</c:v>
                </c:pt>
              </c:numCache>
            </c:numRef>
          </c:xVal>
          <c:yVal>
            <c:numRef>
              <c:f>'pre-amp_locations FINAL'!$E$143:$E$151</c:f>
              <c:numCache>
                <c:formatCode>General</c:formatCode>
                <c:ptCount val="9"/>
                <c:pt idx="0">
                  <c:v>-31.704872678240342</c:v>
                </c:pt>
                <c:pt idx="1">
                  <c:v>-32.452441785601884</c:v>
                </c:pt>
                <c:pt idx="2">
                  <c:v>-30.112180503334706</c:v>
                </c:pt>
                <c:pt idx="3">
                  <c:v>-23.730273990174442</c:v>
                </c:pt>
                <c:pt idx="4">
                  <c:v>-19.964269003215644</c:v>
                </c:pt>
                <c:pt idx="5">
                  <c:v>-12.122102933713776</c:v>
                </c:pt>
                <c:pt idx="6">
                  <c:v>-5.0280875547327009</c:v>
                </c:pt>
                <c:pt idx="7">
                  <c:v>5.6435657741752356</c:v>
                </c:pt>
                <c:pt idx="8">
                  <c:v>22.206397644625984</c:v>
                </c:pt>
              </c:numCache>
            </c:numRef>
          </c:yVal>
        </c:ser>
        <c:ser>
          <c:idx val="18"/>
          <c:order val="18"/>
          <c:tx>
            <c:v>cath6upstrm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FF6600"/>
              </a:solidFill>
            </c:spPr>
          </c:marker>
          <c:xVal>
            <c:numRef>
              <c:f>'pre-amp_locations FINAL'!$D$152:$D$160</c:f>
              <c:numCache>
                <c:formatCode>General</c:formatCode>
                <c:ptCount val="9"/>
                <c:pt idx="0">
                  <c:v>7.3109092661756128</c:v>
                </c:pt>
                <c:pt idx="1">
                  <c:v>20.890597314812531</c:v>
                </c:pt>
                <c:pt idx="2">
                  <c:v>11.646958360222257</c:v>
                </c:pt>
                <c:pt idx="3">
                  <c:v>4.5231257812021228</c:v>
                </c:pt>
                <c:pt idx="4">
                  <c:v>-4.523125781202129</c:v>
                </c:pt>
                <c:pt idx="5">
                  <c:v>-9.5020804034889448</c:v>
                </c:pt>
                <c:pt idx="6">
                  <c:v>-20.008997948083891</c:v>
                </c:pt>
                <c:pt idx="7">
                  <c:v>-27.25679345822628</c:v>
                </c:pt>
                <c:pt idx="8">
                  <c:v>-31.046546768976167</c:v>
                </c:pt>
              </c:numCache>
            </c:numRef>
          </c:xVal>
          <c:yVal>
            <c:numRef>
              <c:f>'pre-amp_locations FINAL'!$E$152:$E$160</c:f>
              <c:numCache>
                <c:formatCode>General</c:formatCode>
                <c:ptCount val="9"/>
                <c:pt idx="0">
                  <c:v>-31.667027105520145</c:v>
                </c:pt>
                <c:pt idx="1">
                  <c:v>24.896444401366786</c:v>
                </c:pt>
                <c:pt idx="2">
                  <c:v>30.341363861159056</c:v>
                </c:pt>
                <c:pt idx="3">
                  <c:v>32.183712234101037</c:v>
                </c:pt>
                <c:pt idx="4">
                  <c:v>32.183712234101037</c:v>
                </c:pt>
                <c:pt idx="5">
                  <c:v>31.079904568798653</c:v>
                </c:pt>
                <c:pt idx="6">
                  <c:v>25.610349492218464</c:v>
                </c:pt>
                <c:pt idx="7">
                  <c:v>17.700768637988386</c:v>
                </c:pt>
                <c:pt idx="8">
                  <c:v>9.6105116264315065</c:v>
                </c:pt>
              </c:numCache>
            </c:numRef>
          </c:yVal>
        </c:ser>
        <c:axId val="65900928"/>
        <c:axId val="65902848"/>
      </c:scatterChart>
      <c:valAx>
        <c:axId val="65900928"/>
        <c:scaling>
          <c:orientation val="minMax"/>
          <c:max val="34"/>
          <c:min val="-34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02848"/>
        <c:crosses val="autoZero"/>
        <c:crossBetween val="midCat"/>
        <c:majorUnit val="34"/>
        <c:minorUnit val="17"/>
      </c:valAx>
      <c:valAx>
        <c:axId val="65902848"/>
        <c:scaling>
          <c:orientation val="minMax"/>
          <c:max val="34"/>
          <c:min val="-34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00928"/>
        <c:crosses val="autoZero"/>
        <c:crossBetween val="midCat"/>
        <c:majorUnit val="34"/>
        <c:minorUnit val="17"/>
      </c:valAx>
      <c:spPr>
        <a:noFill/>
        <a:ln w="25400">
          <a:noFill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ayout>
        <c:manualLayout>
          <c:xMode val="edge"/>
          <c:yMode val="edge"/>
          <c:x val="0.76929394734749068"/>
          <c:y val="3.3204286964129484E-2"/>
          <c:w val="0.20525265250934543"/>
          <c:h val="0.181764408355205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99" r="0.75000000000000999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pre-amp locations</a:t>
            </a:r>
          </a:p>
        </c:rich>
      </c:tx>
      <c:layout>
        <c:manualLayout>
          <c:xMode val="edge"/>
          <c:yMode val="edge"/>
          <c:x val="0.36528497409327293"/>
          <c:y val="3.52941176470588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4041450777202056E-2"/>
          <c:y val="9.1176601528897006E-2"/>
          <c:w val="0.63989637305699565"/>
          <c:h val="0.81470705237112595"/>
        </c:manualLayout>
      </c:layout>
      <c:scatterChart>
        <c:scatterStyle val="lineMarker"/>
        <c:ser>
          <c:idx val="1"/>
          <c:order val="0"/>
          <c:tx>
            <c:v>cath1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'pre-amp_locations'!$C$33:$C$41</c:f>
              <c:numCache>
                <c:formatCode>General</c:formatCode>
                <c:ptCount val="9"/>
                <c:pt idx="0">
                  <c:v>6.1398057991774717</c:v>
                </c:pt>
                <c:pt idx="1">
                  <c:v>14.254815656191775</c:v>
                </c:pt>
                <c:pt idx="2">
                  <c:v>9.5338004945304835</c:v>
                </c:pt>
                <c:pt idx="3">
                  <c:v>2.9226351201613721</c:v>
                </c:pt>
                <c:pt idx="4">
                  <c:v>-4.7239721412211644</c:v>
                </c:pt>
                <c:pt idx="5">
                  <c:v>-7.866738461734152</c:v>
                </c:pt>
                <c:pt idx="6">
                  <c:v>-12.928890981838823</c:v>
                </c:pt>
                <c:pt idx="7">
                  <c:v>-16.320065190596381</c:v>
                </c:pt>
                <c:pt idx="8">
                  <c:v>-19.733545036504076</c:v>
                </c:pt>
              </c:numCache>
            </c:numRef>
          </c:xVal>
          <c:yVal>
            <c:numRef>
              <c:f>'pre-amp_locations'!$D$33:$D$41</c:f>
              <c:numCache>
                <c:formatCode>General</c:formatCode>
                <c:ptCount val="9"/>
                <c:pt idx="0">
                  <c:v>-20.082399875223743</c:v>
                </c:pt>
                <c:pt idx="1">
                  <c:v>15.420772698149397</c:v>
                </c:pt>
                <c:pt idx="2">
                  <c:v>18.711137007955724</c:v>
                </c:pt>
                <c:pt idx="3">
                  <c:v>20.795629443572977</c:v>
                </c:pt>
                <c:pt idx="4">
                  <c:v>20.461771360489941</c:v>
                </c:pt>
                <c:pt idx="5">
                  <c:v>19.470860945902537</c:v>
                </c:pt>
                <c:pt idx="6">
                  <c:v>16.548225825741163</c:v>
                </c:pt>
                <c:pt idx="7">
                  <c:v>13.215728212046585</c:v>
                </c:pt>
                <c:pt idx="8">
                  <c:v>7.1824230098390469</c:v>
                </c:pt>
              </c:numCache>
            </c:numRef>
          </c:yVal>
        </c:ser>
        <c:ser>
          <c:idx val="5"/>
          <c:order val="1"/>
          <c:tx>
            <c:v>cath2 mir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'pre-amp_locations'!$C$64:$C$72</c:f>
              <c:numCache>
                <c:formatCode>General</c:formatCode>
                <c:ptCount val="9"/>
                <c:pt idx="0">
                  <c:v>-15.003963921374964</c:v>
                </c:pt>
                <c:pt idx="1">
                  <c:v>21.457531051187278</c:v>
                </c:pt>
                <c:pt idx="2">
                  <c:v>21.969849764600625</c:v>
                </c:pt>
                <c:pt idx="3">
                  <c:v>20.398044800469322</c:v>
                </c:pt>
                <c:pt idx="4">
                  <c:v>16.089781435621749</c:v>
                </c:pt>
                <c:pt idx="5">
                  <c:v>13.544552457164482</c:v>
                </c:pt>
                <c:pt idx="6">
                  <c:v>8.2413450551500649</c:v>
                </c:pt>
                <c:pt idx="7">
                  <c:v>3.4415582308850792</c:v>
                </c:pt>
                <c:pt idx="8">
                  <c:v>-3.8202599086724685</c:v>
                </c:pt>
              </c:numCache>
            </c:numRef>
          </c:xVal>
          <c:yVal>
            <c:numRef>
              <c:f>'pre-amp_locations'!$D$64:$D$72</c:f>
              <c:numCache>
                <c:formatCode>General</c:formatCode>
                <c:ptCount val="9"/>
                <c:pt idx="0">
                  <c:v>16.089781435621752</c:v>
                </c:pt>
                <c:pt idx="1">
                  <c:v>4.8553435704730239</c:v>
                </c:pt>
                <c:pt idx="2">
                  <c:v>-1.1513910373447644</c:v>
                </c:pt>
                <c:pt idx="3">
                  <c:v>-8.2413450551500649</c:v>
                </c:pt>
                <c:pt idx="4">
                  <c:v>-15.003963921374966</c:v>
                </c:pt>
                <c:pt idx="5">
                  <c:v>-17.336236579347883</c:v>
                </c:pt>
                <c:pt idx="6">
                  <c:v>-20.398044800469322</c:v>
                </c:pt>
                <c:pt idx="7">
                  <c:v>-21.72914349309303</c:v>
                </c:pt>
                <c:pt idx="8">
                  <c:v>-21.665770566268577</c:v>
                </c:pt>
              </c:numCache>
            </c:numRef>
          </c:yVal>
        </c:ser>
        <c:ser>
          <c:idx val="9"/>
          <c:order val="2"/>
          <c:tx>
            <c:v>rails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'pre-amp_locations'!$I$32:$I$51</c:f>
              <c:numCache>
                <c:formatCode>General</c:formatCode>
                <c:ptCount val="20"/>
                <c:pt idx="0">
                  <c:v>0</c:v>
                </c:pt>
                <c:pt idx="1">
                  <c:v>-25.166</c:v>
                </c:pt>
                <c:pt idx="2">
                  <c:v>-23.213000000000001</c:v>
                </c:pt>
                <c:pt idx="3">
                  <c:v>0</c:v>
                </c:pt>
                <c:pt idx="4">
                  <c:v>-25.166</c:v>
                </c:pt>
                <c:pt idx="5">
                  <c:v>-23.213000000000001</c:v>
                </c:pt>
                <c:pt idx="6">
                  <c:v>0</c:v>
                </c:pt>
                <c:pt idx="7">
                  <c:v>0</c:v>
                </c:pt>
                <c:pt idx="8">
                  <c:v>25.166</c:v>
                </c:pt>
                <c:pt idx="9">
                  <c:v>23.213000000000001</c:v>
                </c:pt>
                <c:pt idx="10">
                  <c:v>0</c:v>
                </c:pt>
                <c:pt idx="11">
                  <c:v>25.166</c:v>
                </c:pt>
                <c:pt idx="12">
                  <c:v>23.213000000000001</c:v>
                </c:pt>
                <c:pt idx="13">
                  <c:v>0</c:v>
                </c:pt>
                <c:pt idx="14">
                  <c:v>1.9530000000000001</c:v>
                </c:pt>
                <c:pt idx="15">
                  <c:v>-1.9530000000000001</c:v>
                </c:pt>
                <c:pt idx="16">
                  <c:v>0</c:v>
                </c:pt>
                <c:pt idx="17">
                  <c:v>1.9530000000000001</c:v>
                </c:pt>
                <c:pt idx="18">
                  <c:v>-1.9530000000000001</c:v>
                </c:pt>
                <c:pt idx="19">
                  <c:v>0</c:v>
                </c:pt>
              </c:numCache>
            </c:numRef>
          </c:xVal>
          <c:yVal>
            <c:numRef>
              <c:f>'pre-amp_locations'!$J$32:$J$51</c:f>
              <c:numCache>
                <c:formatCode>General</c:formatCode>
                <c:ptCount val="20"/>
                <c:pt idx="0">
                  <c:v>0</c:v>
                </c:pt>
                <c:pt idx="1">
                  <c:v>12.273999999999999</c:v>
                </c:pt>
                <c:pt idx="2">
                  <c:v>15.657</c:v>
                </c:pt>
                <c:pt idx="3">
                  <c:v>0</c:v>
                </c:pt>
                <c:pt idx="4">
                  <c:v>-12.273999999999999</c:v>
                </c:pt>
                <c:pt idx="5">
                  <c:v>-15.657</c:v>
                </c:pt>
                <c:pt idx="6">
                  <c:v>0</c:v>
                </c:pt>
                <c:pt idx="7">
                  <c:v>0</c:v>
                </c:pt>
                <c:pt idx="8">
                  <c:v>12.273999999999999</c:v>
                </c:pt>
                <c:pt idx="9">
                  <c:v>15.657</c:v>
                </c:pt>
                <c:pt idx="10">
                  <c:v>0</c:v>
                </c:pt>
                <c:pt idx="11">
                  <c:v>-12.273999999999999</c:v>
                </c:pt>
                <c:pt idx="12">
                  <c:v>-15.657</c:v>
                </c:pt>
                <c:pt idx="13">
                  <c:v>0</c:v>
                </c:pt>
                <c:pt idx="14">
                  <c:v>27.931999999999999</c:v>
                </c:pt>
                <c:pt idx="15">
                  <c:v>27.931999999999999</c:v>
                </c:pt>
                <c:pt idx="16">
                  <c:v>0</c:v>
                </c:pt>
                <c:pt idx="17">
                  <c:v>-27.931999999999999</c:v>
                </c:pt>
                <c:pt idx="18">
                  <c:v>-27.931999999999999</c:v>
                </c:pt>
                <c:pt idx="19">
                  <c:v>0</c:v>
                </c:pt>
              </c:numCache>
            </c:numRef>
          </c:yVal>
        </c:ser>
        <c:axId val="69204224"/>
        <c:axId val="65933312"/>
      </c:scatterChart>
      <c:valAx>
        <c:axId val="69204224"/>
        <c:scaling>
          <c:orientation val="minMax"/>
          <c:max val="28"/>
          <c:min val="-28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33312"/>
        <c:crosses val="autoZero"/>
        <c:crossBetween val="midCat"/>
        <c:majorUnit val="28"/>
        <c:minorUnit val="14"/>
      </c:valAx>
      <c:valAx>
        <c:axId val="65933312"/>
        <c:scaling>
          <c:orientation val="minMax"/>
          <c:max val="28"/>
          <c:min val="-28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204224"/>
        <c:crosses val="autoZero"/>
        <c:crossBetween val="midCat"/>
        <c:majorUnit val="28"/>
        <c:minorUnit val="14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52331606218858"/>
          <c:y val="0.14117677937316617"/>
          <c:w val="0.21243523316062493"/>
          <c:h val="0.1705885440790493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77" r="0.75000000000000977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drift cell preamp locations</a:t>
            </a:r>
          </a:p>
        </c:rich>
      </c:tx>
      <c:layout>
        <c:manualLayout>
          <c:xMode val="edge"/>
          <c:yMode val="edge"/>
          <c:x val="0.27893738140417457"/>
          <c:y val="3.0501089324618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0360531309297563E-2"/>
          <c:y val="0.1198259630011826"/>
          <c:w val="0.70777988614802934"/>
          <c:h val="0.84749635649926069"/>
        </c:manualLayout>
      </c:layout>
      <c:scatterChart>
        <c:scatterStyle val="lineMarker"/>
        <c:ser>
          <c:idx val="0"/>
          <c:order val="0"/>
          <c:tx>
            <c:v>wirebrd1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'pre-amp_locations'!$C$29:$C$32</c:f>
              <c:numCache>
                <c:formatCode>General</c:formatCode>
                <c:ptCount val="4"/>
                <c:pt idx="0">
                  <c:v>15.32088886237956</c:v>
                </c:pt>
                <c:pt idx="1">
                  <c:v>19.805361374831406</c:v>
                </c:pt>
                <c:pt idx="2">
                  <c:v>19.805361374831406</c:v>
                </c:pt>
                <c:pt idx="3">
                  <c:v>15.32088886237956</c:v>
                </c:pt>
              </c:numCache>
            </c:numRef>
          </c:xVal>
          <c:yVal>
            <c:numRef>
              <c:f>'pre-amp_locations'!$D$29:$D$32</c:f>
              <c:numCache>
                <c:formatCode>General</c:formatCode>
                <c:ptCount val="4"/>
                <c:pt idx="0">
                  <c:v>-12.855752193730785</c:v>
                </c:pt>
                <c:pt idx="1">
                  <c:v>-2.7834620192013086</c:v>
                </c:pt>
                <c:pt idx="2">
                  <c:v>2.7834620192013086</c:v>
                </c:pt>
                <c:pt idx="3">
                  <c:v>12.855752193730785</c:v>
                </c:pt>
              </c:numCache>
            </c:numRef>
          </c:yVal>
        </c:ser>
        <c:ser>
          <c:idx val="1"/>
          <c:order val="1"/>
          <c:tx>
            <c:v>cath1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'pre-amp_locations'!$C$33:$C$41</c:f>
              <c:numCache>
                <c:formatCode>General</c:formatCode>
                <c:ptCount val="9"/>
                <c:pt idx="0">
                  <c:v>6.1398057991774717</c:v>
                </c:pt>
                <c:pt idx="1">
                  <c:v>14.254815656191775</c:v>
                </c:pt>
                <c:pt idx="2">
                  <c:v>9.5338004945304835</c:v>
                </c:pt>
                <c:pt idx="3">
                  <c:v>2.9226351201613721</c:v>
                </c:pt>
                <c:pt idx="4">
                  <c:v>-4.7239721412211644</c:v>
                </c:pt>
                <c:pt idx="5">
                  <c:v>-7.866738461734152</c:v>
                </c:pt>
                <c:pt idx="6">
                  <c:v>-12.928890981838823</c:v>
                </c:pt>
                <c:pt idx="7">
                  <c:v>-16.320065190596381</c:v>
                </c:pt>
                <c:pt idx="8">
                  <c:v>-19.733545036504076</c:v>
                </c:pt>
              </c:numCache>
            </c:numRef>
          </c:xVal>
          <c:yVal>
            <c:numRef>
              <c:f>'pre-amp_locations'!$D$33:$D$41</c:f>
              <c:numCache>
                <c:formatCode>General</c:formatCode>
                <c:ptCount val="9"/>
                <c:pt idx="0">
                  <c:v>-20.082399875223743</c:v>
                </c:pt>
                <c:pt idx="1">
                  <c:v>15.420772698149397</c:v>
                </c:pt>
                <c:pt idx="2">
                  <c:v>18.711137007955724</c:v>
                </c:pt>
                <c:pt idx="3">
                  <c:v>20.795629443572977</c:v>
                </c:pt>
                <c:pt idx="4">
                  <c:v>20.461771360489941</c:v>
                </c:pt>
                <c:pt idx="5">
                  <c:v>19.470860945902537</c:v>
                </c:pt>
                <c:pt idx="6">
                  <c:v>16.548225825741163</c:v>
                </c:pt>
                <c:pt idx="7">
                  <c:v>13.215728212046585</c:v>
                </c:pt>
                <c:pt idx="8">
                  <c:v>7.1824230098390469</c:v>
                </c:pt>
              </c:numCache>
            </c:numRef>
          </c:yVal>
        </c:ser>
        <c:ser>
          <c:idx val="2"/>
          <c:order val="2"/>
          <c:tx>
            <c:v>cath1_mir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'pre-amp_locations'!$C$42:$C$50</c:f>
              <c:numCache>
                <c:formatCode>General</c:formatCode>
                <c:ptCount val="9"/>
                <c:pt idx="0">
                  <c:v>5.5550623897319955</c:v>
                </c:pt>
                <c:pt idx="1">
                  <c:v>12.897214165125892</c:v>
                </c:pt>
                <c:pt idx="2">
                  <c:v>8.6258194950513882</c:v>
                </c:pt>
                <c:pt idx="3">
                  <c:v>2.6442889182412435</c:v>
                </c:pt>
                <c:pt idx="4">
                  <c:v>-4.2740700325334418</c:v>
                </c:pt>
                <c:pt idx="5">
                  <c:v>-7.1175252749023343</c:v>
                </c:pt>
                <c:pt idx="6">
                  <c:v>-11.697568031187505</c:v>
                </c:pt>
                <c:pt idx="7">
                  <c:v>-14.765773267682444</c:v>
                </c:pt>
                <c:pt idx="8">
                  <c:v>-17.854159794932258</c:v>
                </c:pt>
              </c:numCache>
            </c:numRef>
          </c:xVal>
          <c:yVal>
            <c:numRef>
              <c:f>'pre-amp_locations'!$D$42:$D$50</c:f>
              <c:numCache>
                <c:formatCode>General</c:formatCode>
                <c:ptCount val="9"/>
                <c:pt idx="0">
                  <c:v>18.169790363297672</c:v>
                </c:pt>
                <c:pt idx="1">
                  <c:v>-13.952127679278025</c:v>
                </c:pt>
                <c:pt idx="2">
                  <c:v>-16.929123959578988</c:v>
                </c:pt>
                <c:pt idx="3">
                  <c:v>-18.815093306089835</c:v>
                </c:pt>
                <c:pt idx="4">
                  <c:v>-18.513031230919466</c:v>
                </c:pt>
                <c:pt idx="5">
                  <c:v>-17.61649323676896</c:v>
                </c:pt>
                <c:pt idx="6">
                  <c:v>-14.972204318527721</c:v>
                </c:pt>
                <c:pt idx="7">
                  <c:v>-11.957087429946915</c:v>
                </c:pt>
                <c:pt idx="8">
                  <c:v>-6.4983827231877047</c:v>
                </c:pt>
              </c:numCache>
            </c:numRef>
          </c:yVal>
        </c:ser>
        <c:ser>
          <c:idx val="3"/>
          <c:order val="3"/>
          <c:tx>
            <c:v>rails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'pre-amp_locations'!$I$32:$I$51</c:f>
              <c:numCache>
                <c:formatCode>General</c:formatCode>
                <c:ptCount val="20"/>
                <c:pt idx="0">
                  <c:v>0</c:v>
                </c:pt>
                <c:pt idx="1">
                  <c:v>-25.166</c:v>
                </c:pt>
                <c:pt idx="2">
                  <c:v>-23.213000000000001</c:v>
                </c:pt>
                <c:pt idx="3">
                  <c:v>0</c:v>
                </c:pt>
                <c:pt idx="4">
                  <c:v>-25.166</c:v>
                </c:pt>
                <c:pt idx="5">
                  <c:v>-23.213000000000001</c:v>
                </c:pt>
                <c:pt idx="6">
                  <c:v>0</c:v>
                </c:pt>
                <c:pt idx="7">
                  <c:v>0</c:v>
                </c:pt>
                <c:pt idx="8">
                  <c:v>25.166</c:v>
                </c:pt>
                <c:pt idx="9">
                  <c:v>23.213000000000001</c:v>
                </c:pt>
                <c:pt idx="10">
                  <c:v>0</c:v>
                </c:pt>
                <c:pt idx="11">
                  <c:v>25.166</c:v>
                </c:pt>
                <c:pt idx="12">
                  <c:v>23.213000000000001</c:v>
                </c:pt>
                <c:pt idx="13">
                  <c:v>0</c:v>
                </c:pt>
                <c:pt idx="14">
                  <c:v>1.9530000000000001</c:v>
                </c:pt>
                <c:pt idx="15">
                  <c:v>-1.9530000000000001</c:v>
                </c:pt>
                <c:pt idx="16">
                  <c:v>0</c:v>
                </c:pt>
                <c:pt idx="17">
                  <c:v>1.9530000000000001</c:v>
                </c:pt>
                <c:pt idx="18">
                  <c:v>-1.9530000000000001</c:v>
                </c:pt>
                <c:pt idx="19">
                  <c:v>0</c:v>
                </c:pt>
              </c:numCache>
            </c:numRef>
          </c:xVal>
          <c:yVal>
            <c:numRef>
              <c:f>'pre-amp_locations'!$J$32:$J$51</c:f>
              <c:numCache>
                <c:formatCode>General</c:formatCode>
                <c:ptCount val="20"/>
                <c:pt idx="0">
                  <c:v>0</c:v>
                </c:pt>
                <c:pt idx="1">
                  <c:v>12.273999999999999</c:v>
                </c:pt>
                <c:pt idx="2">
                  <c:v>15.657</c:v>
                </c:pt>
                <c:pt idx="3">
                  <c:v>0</c:v>
                </c:pt>
                <c:pt idx="4">
                  <c:v>-12.273999999999999</c:v>
                </c:pt>
                <c:pt idx="5">
                  <c:v>-15.657</c:v>
                </c:pt>
                <c:pt idx="6">
                  <c:v>0</c:v>
                </c:pt>
                <c:pt idx="7">
                  <c:v>0</c:v>
                </c:pt>
                <c:pt idx="8">
                  <c:v>12.273999999999999</c:v>
                </c:pt>
                <c:pt idx="9">
                  <c:v>15.657</c:v>
                </c:pt>
                <c:pt idx="10">
                  <c:v>0</c:v>
                </c:pt>
                <c:pt idx="11">
                  <c:v>-12.273999999999999</c:v>
                </c:pt>
                <c:pt idx="12">
                  <c:v>-15.657</c:v>
                </c:pt>
                <c:pt idx="13">
                  <c:v>0</c:v>
                </c:pt>
                <c:pt idx="14">
                  <c:v>27.931999999999999</c:v>
                </c:pt>
                <c:pt idx="15">
                  <c:v>27.931999999999999</c:v>
                </c:pt>
                <c:pt idx="16">
                  <c:v>0</c:v>
                </c:pt>
                <c:pt idx="17">
                  <c:v>-27.931999999999999</c:v>
                </c:pt>
                <c:pt idx="18">
                  <c:v>-27.931999999999999</c:v>
                </c:pt>
                <c:pt idx="19">
                  <c:v>0</c:v>
                </c:pt>
              </c:numCache>
            </c:numRef>
          </c:yVal>
        </c:ser>
        <c:axId val="69207552"/>
        <c:axId val="69209088"/>
      </c:scatterChart>
      <c:valAx>
        <c:axId val="69207552"/>
        <c:scaling>
          <c:orientation val="minMax"/>
          <c:max val="28"/>
          <c:min val="-28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209088"/>
        <c:crosses val="autoZero"/>
        <c:crossBetween val="midCat"/>
        <c:majorUnit val="28"/>
        <c:minorUnit val="14"/>
      </c:valAx>
      <c:valAx>
        <c:axId val="69209088"/>
        <c:scaling>
          <c:orientation val="minMax"/>
          <c:max val="28"/>
          <c:min val="-28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207552"/>
        <c:crosses val="autoZero"/>
        <c:crossBetween val="midCat"/>
        <c:majorUnit val="28"/>
        <c:minorUnit val="14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47628083490218"/>
          <c:y val="0.12854053374047344"/>
          <c:w val="0.17836812144213238"/>
          <c:h val="0.1764710456944522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77" r="0.75000000000000977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next segment junction locations</a:t>
            </a:r>
          </a:p>
        </c:rich>
      </c:tx>
      <c:layout>
        <c:manualLayout>
          <c:xMode val="edge"/>
          <c:yMode val="edge"/>
          <c:x val="0.28672985781991067"/>
          <c:y val="3.147699757869348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5545023696682464E-2"/>
          <c:y val="0.12348668280871672"/>
          <c:w val="0.68957345971563011"/>
          <c:h val="0.8426150121065562"/>
        </c:manualLayout>
      </c:layout>
      <c:scatterChart>
        <c:scatterStyle val="lineMarker"/>
        <c:ser>
          <c:idx val="7"/>
          <c:order val="0"/>
          <c:tx>
            <c:v>cath3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xVal>
            <c:numRef>
              <c:f>'pre-amp_locations'!$E$77:$E$85</c:f>
              <c:numCache>
                <c:formatCode>General</c:formatCode>
                <c:ptCount val="9"/>
                <c:pt idx="0">
                  <c:v>14.321965561312471</c:v>
                </c:pt>
                <c:pt idx="1">
                  <c:v>-20.482188730678768</c:v>
                </c:pt>
                <c:pt idx="2">
                  <c:v>-20.97122022984605</c:v>
                </c:pt>
                <c:pt idx="3">
                  <c:v>-19.470860945902537</c:v>
                </c:pt>
                <c:pt idx="4">
                  <c:v>-15.358427734002577</c:v>
                </c:pt>
                <c:pt idx="5">
                  <c:v>-12.928890981838823</c:v>
                </c:pt>
                <c:pt idx="6">
                  <c:v>-7.8667384617341591</c:v>
                </c:pt>
                <c:pt idx="7">
                  <c:v>-3.2851237658448533</c:v>
                </c:pt>
                <c:pt idx="8">
                  <c:v>3.646611731005537</c:v>
                </c:pt>
              </c:numCache>
            </c:numRef>
          </c:xVal>
          <c:yVal>
            <c:numRef>
              <c:f>'pre-amp_locations'!$F$77:$F$85</c:f>
              <c:numCache>
                <c:formatCode>General</c:formatCode>
                <c:ptCount val="9"/>
                <c:pt idx="0">
                  <c:v>15.35842773400258</c:v>
                </c:pt>
                <c:pt idx="1">
                  <c:v>4.6346461354515238</c:v>
                </c:pt>
                <c:pt idx="2">
                  <c:v>-1.0990550811018147</c:v>
                </c:pt>
                <c:pt idx="3">
                  <c:v>-7.866738461734152</c:v>
                </c:pt>
                <c:pt idx="4">
                  <c:v>-14.321965561312465</c:v>
                </c:pt>
                <c:pt idx="5">
                  <c:v>-16.548225825741163</c:v>
                </c:pt>
                <c:pt idx="6">
                  <c:v>-19.470860945902533</c:v>
                </c:pt>
                <c:pt idx="7">
                  <c:v>-20.741455152497892</c:v>
                </c:pt>
                <c:pt idx="8">
                  <c:v>-20.680962813256368</c:v>
                </c:pt>
              </c:numCache>
            </c:numRef>
          </c:yVal>
        </c:ser>
        <c:ser>
          <c:idx val="0"/>
          <c:order val="1"/>
          <c:tx>
            <c:v>cath1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'pre-amp_locations'!$C$33:$C$41</c:f>
              <c:numCache>
                <c:formatCode>General</c:formatCode>
                <c:ptCount val="9"/>
                <c:pt idx="0">
                  <c:v>6.1398057991774717</c:v>
                </c:pt>
                <c:pt idx="1">
                  <c:v>14.254815656191775</c:v>
                </c:pt>
                <c:pt idx="2">
                  <c:v>9.5338004945304835</c:v>
                </c:pt>
                <c:pt idx="3">
                  <c:v>2.9226351201613721</c:v>
                </c:pt>
                <c:pt idx="4">
                  <c:v>-4.7239721412211644</c:v>
                </c:pt>
                <c:pt idx="5">
                  <c:v>-7.866738461734152</c:v>
                </c:pt>
                <c:pt idx="6">
                  <c:v>-12.928890981838823</c:v>
                </c:pt>
                <c:pt idx="7">
                  <c:v>-16.320065190596381</c:v>
                </c:pt>
                <c:pt idx="8">
                  <c:v>-19.733545036504076</c:v>
                </c:pt>
              </c:numCache>
            </c:numRef>
          </c:xVal>
          <c:yVal>
            <c:numRef>
              <c:f>'pre-amp_locations'!$D$33:$D$41</c:f>
              <c:numCache>
                <c:formatCode>General</c:formatCode>
                <c:ptCount val="9"/>
                <c:pt idx="0">
                  <c:v>-20.082399875223743</c:v>
                </c:pt>
                <c:pt idx="1">
                  <c:v>15.420772698149397</c:v>
                </c:pt>
                <c:pt idx="2">
                  <c:v>18.711137007955724</c:v>
                </c:pt>
                <c:pt idx="3">
                  <c:v>20.795629443572977</c:v>
                </c:pt>
                <c:pt idx="4">
                  <c:v>20.461771360489941</c:v>
                </c:pt>
                <c:pt idx="5">
                  <c:v>19.470860945902537</c:v>
                </c:pt>
                <c:pt idx="6">
                  <c:v>16.548225825741163</c:v>
                </c:pt>
                <c:pt idx="7">
                  <c:v>13.215728212046585</c:v>
                </c:pt>
                <c:pt idx="8">
                  <c:v>7.1824230098390469</c:v>
                </c:pt>
              </c:numCache>
            </c:numRef>
          </c:yVal>
        </c:ser>
        <c:axId val="69250048"/>
        <c:axId val="69256320"/>
      </c:scatterChart>
      <c:valAx>
        <c:axId val="69250048"/>
        <c:scaling>
          <c:orientation val="minMax"/>
          <c:max val="28"/>
          <c:min val="-28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256320"/>
        <c:crosses val="autoZero"/>
        <c:crossBetween val="midCat"/>
        <c:majorUnit val="28"/>
        <c:minorUnit val="14"/>
      </c:valAx>
      <c:valAx>
        <c:axId val="69256320"/>
        <c:scaling>
          <c:orientation val="minMax"/>
          <c:max val="28"/>
          <c:min val="-28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250048"/>
        <c:crosses val="autoZero"/>
        <c:crossBetween val="midCat"/>
        <c:majorUnit val="28"/>
        <c:minorUnit val="14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08056872037918"/>
          <c:y val="0.17433414043583809"/>
          <c:w val="0.10663507109004752"/>
          <c:h val="9.443099273607895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77" r="0.75000000000000977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pre-amp locations</a:t>
            </a:r>
          </a:p>
        </c:rich>
      </c:tx>
      <c:layout>
        <c:manualLayout>
          <c:xMode val="edge"/>
          <c:yMode val="edge"/>
          <c:x val="0.36692506459949153"/>
          <c:y val="3.51906158357771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3927759426880007E-2"/>
          <c:y val="9.0909090909091064E-2"/>
          <c:w val="0.64341247631136023"/>
          <c:h val="0.81524926686218235"/>
        </c:manualLayout>
      </c:layout>
      <c:scatterChart>
        <c:scatterStyle val="lineMarker"/>
        <c:ser>
          <c:idx val="9"/>
          <c:order val="0"/>
          <c:tx>
            <c:v>rails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'pre-amp_locations'!$I$32:$I$51</c:f>
              <c:numCache>
                <c:formatCode>General</c:formatCode>
                <c:ptCount val="20"/>
                <c:pt idx="0">
                  <c:v>0</c:v>
                </c:pt>
                <c:pt idx="1">
                  <c:v>-25.166</c:v>
                </c:pt>
                <c:pt idx="2">
                  <c:v>-23.213000000000001</c:v>
                </c:pt>
                <c:pt idx="3">
                  <c:v>0</c:v>
                </c:pt>
                <c:pt idx="4">
                  <c:v>-25.166</c:v>
                </c:pt>
                <c:pt idx="5">
                  <c:v>-23.213000000000001</c:v>
                </c:pt>
                <c:pt idx="6">
                  <c:v>0</c:v>
                </c:pt>
                <c:pt idx="7">
                  <c:v>0</c:v>
                </c:pt>
                <c:pt idx="8">
                  <c:v>25.166</c:v>
                </c:pt>
                <c:pt idx="9">
                  <c:v>23.213000000000001</c:v>
                </c:pt>
                <c:pt idx="10">
                  <c:v>0</c:v>
                </c:pt>
                <c:pt idx="11">
                  <c:v>25.166</c:v>
                </c:pt>
                <c:pt idx="12">
                  <c:v>23.213000000000001</c:v>
                </c:pt>
                <c:pt idx="13">
                  <c:v>0</c:v>
                </c:pt>
                <c:pt idx="14">
                  <c:v>1.9530000000000001</c:v>
                </c:pt>
                <c:pt idx="15">
                  <c:v>-1.9530000000000001</c:v>
                </c:pt>
                <c:pt idx="16">
                  <c:v>0</c:v>
                </c:pt>
                <c:pt idx="17">
                  <c:v>1.9530000000000001</c:v>
                </c:pt>
                <c:pt idx="18">
                  <c:v>-1.9530000000000001</c:v>
                </c:pt>
                <c:pt idx="19">
                  <c:v>0</c:v>
                </c:pt>
              </c:numCache>
            </c:numRef>
          </c:xVal>
          <c:yVal>
            <c:numRef>
              <c:f>'pre-amp_locations'!$J$32:$J$51</c:f>
              <c:numCache>
                <c:formatCode>General</c:formatCode>
                <c:ptCount val="20"/>
                <c:pt idx="0">
                  <c:v>0</c:v>
                </c:pt>
                <c:pt idx="1">
                  <c:v>12.273999999999999</c:v>
                </c:pt>
                <c:pt idx="2">
                  <c:v>15.657</c:v>
                </c:pt>
                <c:pt idx="3">
                  <c:v>0</c:v>
                </c:pt>
                <c:pt idx="4">
                  <c:v>-12.273999999999999</c:v>
                </c:pt>
                <c:pt idx="5">
                  <c:v>-15.657</c:v>
                </c:pt>
                <c:pt idx="6">
                  <c:v>0</c:v>
                </c:pt>
                <c:pt idx="7">
                  <c:v>0</c:v>
                </c:pt>
                <c:pt idx="8">
                  <c:v>12.273999999999999</c:v>
                </c:pt>
                <c:pt idx="9">
                  <c:v>15.657</c:v>
                </c:pt>
                <c:pt idx="10">
                  <c:v>0</c:v>
                </c:pt>
                <c:pt idx="11">
                  <c:v>-12.273999999999999</c:v>
                </c:pt>
                <c:pt idx="12">
                  <c:v>-15.657</c:v>
                </c:pt>
                <c:pt idx="13">
                  <c:v>0</c:v>
                </c:pt>
                <c:pt idx="14">
                  <c:v>27.931999999999999</c:v>
                </c:pt>
                <c:pt idx="15">
                  <c:v>27.931999999999999</c:v>
                </c:pt>
                <c:pt idx="16">
                  <c:v>0</c:v>
                </c:pt>
                <c:pt idx="17">
                  <c:v>-27.931999999999999</c:v>
                </c:pt>
                <c:pt idx="18">
                  <c:v>-27.931999999999999</c:v>
                </c:pt>
                <c:pt idx="19">
                  <c:v>0</c:v>
                </c:pt>
              </c:numCache>
            </c:numRef>
          </c:yVal>
        </c:ser>
        <c:ser>
          <c:idx val="0"/>
          <c:order val="1"/>
          <c:tx>
            <c:v>cath1_mir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'pre-amp_locations'!$C$42:$C$50</c:f>
              <c:numCache>
                <c:formatCode>General</c:formatCode>
                <c:ptCount val="9"/>
                <c:pt idx="0">
                  <c:v>5.5550623897319955</c:v>
                </c:pt>
                <c:pt idx="1">
                  <c:v>12.897214165125892</c:v>
                </c:pt>
                <c:pt idx="2">
                  <c:v>8.6258194950513882</c:v>
                </c:pt>
                <c:pt idx="3">
                  <c:v>2.6442889182412435</c:v>
                </c:pt>
                <c:pt idx="4">
                  <c:v>-4.2740700325334418</c:v>
                </c:pt>
                <c:pt idx="5">
                  <c:v>-7.1175252749023343</c:v>
                </c:pt>
                <c:pt idx="6">
                  <c:v>-11.697568031187505</c:v>
                </c:pt>
                <c:pt idx="7">
                  <c:v>-14.765773267682444</c:v>
                </c:pt>
                <c:pt idx="8">
                  <c:v>-17.854159794932258</c:v>
                </c:pt>
              </c:numCache>
            </c:numRef>
          </c:xVal>
          <c:yVal>
            <c:numRef>
              <c:f>'pre-amp_locations'!$D$42:$D$50</c:f>
              <c:numCache>
                <c:formatCode>General</c:formatCode>
                <c:ptCount val="9"/>
                <c:pt idx="0">
                  <c:v>18.169790363297672</c:v>
                </c:pt>
                <c:pt idx="1">
                  <c:v>-13.952127679278025</c:v>
                </c:pt>
                <c:pt idx="2">
                  <c:v>-16.929123959578988</c:v>
                </c:pt>
                <c:pt idx="3">
                  <c:v>-18.815093306089835</c:v>
                </c:pt>
                <c:pt idx="4">
                  <c:v>-18.513031230919466</c:v>
                </c:pt>
                <c:pt idx="5">
                  <c:v>-17.61649323676896</c:v>
                </c:pt>
                <c:pt idx="6">
                  <c:v>-14.972204318527721</c:v>
                </c:pt>
                <c:pt idx="7">
                  <c:v>-11.957087429946915</c:v>
                </c:pt>
                <c:pt idx="8">
                  <c:v>-6.4983827231877047</c:v>
                </c:pt>
              </c:numCache>
            </c:numRef>
          </c:yVal>
        </c:ser>
        <c:ser>
          <c:idx val="1"/>
          <c:order val="2"/>
          <c:tx>
            <c:v>wire1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'pre-amp_locations'!$C$29:$C$32</c:f>
              <c:numCache>
                <c:formatCode>General</c:formatCode>
                <c:ptCount val="4"/>
                <c:pt idx="0">
                  <c:v>15.32088886237956</c:v>
                </c:pt>
                <c:pt idx="1">
                  <c:v>19.805361374831406</c:v>
                </c:pt>
                <c:pt idx="2">
                  <c:v>19.805361374831406</c:v>
                </c:pt>
                <c:pt idx="3">
                  <c:v>15.32088886237956</c:v>
                </c:pt>
              </c:numCache>
            </c:numRef>
          </c:xVal>
          <c:yVal>
            <c:numRef>
              <c:f>'pre-amp_locations'!$D$29:$D$32</c:f>
              <c:numCache>
                <c:formatCode>General</c:formatCode>
                <c:ptCount val="4"/>
                <c:pt idx="0">
                  <c:v>-12.855752193730785</c:v>
                </c:pt>
                <c:pt idx="1">
                  <c:v>-2.7834620192013086</c:v>
                </c:pt>
                <c:pt idx="2">
                  <c:v>2.7834620192013086</c:v>
                </c:pt>
                <c:pt idx="3">
                  <c:v>12.855752193730785</c:v>
                </c:pt>
              </c:numCache>
            </c:numRef>
          </c:yVal>
        </c:ser>
        <c:axId val="69351296"/>
        <c:axId val="69369856"/>
      </c:scatterChart>
      <c:valAx>
        <c:axId val="69351296"/>
        <c:scaling>
          <c:orientation val="minMax"/>
          <c:max val="28"/>
          <c:min val="-28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69856"/>
        <c:crosses val="autoZero"/>
        <c:crossBetween val="midCat"/>
        <c:majorUnit val="28"/>
        <c:minorUnit val="14"/>
      </c:valAx>
      <c:valAx>
        <c:axId val="69369856"/>
        <c:scaling>
          <c:orientation val="minMax"/>
          <c:max val="28"/>
          <c:min val="-28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351296"/>
        <c:crosses val="autoZero"/>
        <c:crossBetween val="midCat"/>
        <c:majorUnit val="28"/>
        <c:minorUnit val="14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43600751456462"/>
          <c:y val="0.14076246334310871"/>
          <c:w val="0.21963878546189877"/>
          <c:h val="0.1700879765395907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77" r="0.75000000000000977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drift cell preamp locations</a:t>
            </a:r>
          </a:p>
        </c:rich>
      </c:tx>
      <c:layout>
        <c:manualLayout>
          <c:xMode val="edge"/>
          <c:yMode val="edge"/>
          <c:x val="0.29939393939393938"/>
          <c:y val="2.61780104712049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2.5454575585435252E-2"/>
          <c:y val="9.6858638743455544E-2"/>
          <c:w val="0.77212212609153263"/>
          <c:h val="0.87696335078534027"/>
        </c:manualLayout>
      </c:layout>
      <c:scatterChart>
        <c:scatterStyle val="lineMarker"/>
        <c:ser>
          <c:idx val="0"/>
          <c:order val="0"/>
          <c:tx>
            <c:v>wirebrd1</c:v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'pre-amp_locations'!$C$29:$C$32</c:f>
              <c:numCache>
                <c:formatCode>General</c:formatCode>
                <c:ptCount val="4"/>
                <c:pt idx="0">
                  <c:v>15.32088886237956</c:v>
                </c:pt>
                <c:pt idx="1">
                  <c:v>19.805361374831406</c:v>
                </c:pt>
                <c:pt idx="2">
                  <c:v>19.805361374831406</c:v>
                </c:pt>
                <c:pt idx="3">
                  <c:v>15.32088886237956</c:v>
                </c:pt>
              </c:numCache>
            </c:numRef>
          </c:xVal>
          <c:yVal>
            <c:numRef>
              <c:f>'pre-amp_locations'!$D$29:$D$32</c:f>
              <c:numCache>
                <c:formatCode>General</c:formatCode>
                <c:ptCount val="4"/>
                <c:pt idx="0">
                  <c:v>-12.855752193730785</c:v>
                </c:pt>
                <c:pt idx="1">
                  <c:v>-2.7834620192013086</c:v>
                </c:pt>
                <c:pt idx="2">
                  <c:v>2.7834620192013086</c:v>
                </c:pt>
                <c:pt idx="3">
                  <c:v>12.855752193730785</c:v>
                </c:pt>
              </c:numCache>
            </c:numRef>
          </c:yVal>
        </c:ser>
        <c:ser>
          <c:idx val="1"/>
          <c:order val="1"/>
          <c:tx>
            <c:v>cath1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'pre-amp_locations'!$C$33:$C$41</c:f>
              <c:numCache>
                <c:formatCode>General</c:formatCode>
                <c:ptCount val="9"/>
                <c:pt idx="0">
                  <c:v>6.1398057991774717</c:v>
                </c:pt>
                <c:pt idx="1">
                  <c:v>14.254815656191775</c:v>
                </c:pt>
                <c:pt idx="2">
                  <c:v>9.5338004945304835</c:v>
                </c:pt>
                <c:pt idx="3">
                  <c:v>2.9226351201613721</c:v>
                </c:pt>
                <c:pt idx="4">
                  <c:v>-4.7239721412211644</c:v>
                </c:pt>
                <c:pt idx="5">
                  <c:v>-7.866738461734152</c:v>
                </c:pt>
                <c:pt idx="6">
                  <c:v>-12.928890981838823</c:v>
                </c:pt>
                <c:pt idx="7">
                  <c:v>-16.320065190596381</c:v>
                </c:pt>
                <c:pt idx="8">
                  <c:v>-19.733545036504076</c:v>
                </c:pt>
              </c:numCache>
            </c:numRef>
          </c:xVal>
          <c:yVal>
            <c:numRef>
              <c:f>'pre-amp_locations'!$D$33:$D$41</c:f>
              <c:numCache>
                <c:formatCode>General</c:formatCode>
                <c:ptCount val="9"/>
                <c:pt idx="0">
                  <c:v>-20.082399875223743</c:v>
                </c:pt>
                <c:pt idx="1">
                  <c:v>15.420772698149397</c:v>
                </c:pt>
                <c:pt idx="2">
                  <c:v>18.711137007955724</c:v>
                </c:pt>
                <c:pt idx="3">
                  <c:v>20.795629443572977</c:v>
                </c:pt>
                <c:pt idx="4">
                  <c:v>20.461771360489941</c:v>
                </c:pt>
                <c:pt idx="5">
                  <c:v>19.470860945902537</c:v>
                </c:pt>
                <c:pt idx="6">
                  <c:v>16.548225825741163</c:v>
                </c:pt>
                <c:pt idx="7">
                  <c:v>13.215728212046585</c:v>
                </c:pt>
                <c:pt idx="8">
                  <c:v>7.1824230098390469</c:v>
                </c:pt>
              </c:numCache>
            </c:numRef>
          </c:yVal>
        </c:ser>
        <c:ser>
          <c:idx val="2"/>
          <c:order val="2"/>
          <c:tx>
            <c:v>cath1_mir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'pre-amp_locations'!$C$42:$C$50</c:f>
              <c:numCache>
                <c:formatCode>General</c:formatCode>
                <c:ptCount val="9"/>
                <c:pt idx="0">
                  <c:v>5.5550623897319955</c:v>
                </c:pt>
                <c:pt idx="1">
                  <c:v>12.897214165125892</c:v>
                </c:pt>
                <c:pt idx="2">
                  <c:v>8.6258194950513882</c:v>
                </c:pt>
                <c:pt idx="3">
                  <c:v>2.6442889182412435</c:v>
                </c:pt>
                <c:pt idx="4">
                  <c:v>-4.2740700325334418</c:v>
                </c:pt>
                <c:pt idx="5">
                  <c:v>-7.1175252749023343</c:v>
                </c:pt>
                <c:pt idx="6">
                  <c:v>-11.697568031187505</c:v>
                </c:pt>
                <c:pt idx="7">
                  <c:v>-14.765773267682444</c:v>
                </c:pt>
                <c:pt idx="8">
                  <c:v>-17.854159794932258</c:v>
                </c:pt>
              </c:numCache>
            </c:numRef>
          </c:xVal>
          <c:yVal>
            <c:numRef>
              <c:f>'pre-amp_locations'!$D$42:$D$50</c:f>
              <c:numCache>
                <c:formatCode>General</c:formatCode>
                <c:ptCount val="9"/>
                <c:pt idx="0">
                  <c:v>18.169790363297672</c:v>
                </c:pt>
                <c:pt idx="1">
                  <c:v>-13.952127679278025</c:v>
                </c:pt>
                <c:pt idx="2">
                  <c:v>-16.929123959578988</c:v>
                </c:pt>
                <c:pt idx="3">
                  <c:v>-18.815093306089835</c:v>
                </c:pt>
                <c:pt idx="4">
                  <c:v>-18.513031230919466</c:v>
                </c:pt>
                <c:pt idx="5">
                  <c:v>-17.61649323676896</c:v>
                </c:pt>
                <c:pt idx="6">
                  <c:v>-14.972204318527721</c:v>
                </c:pt>
                <c:pt idx="7">
                  <c:v>-11.957087429946915</c:v>
                </c:pt>
                <c:pt idx="8">
                  <c:v>-6.4983827231877047</c:v>
                </c:pt>
              </c:numCache>
            </c:numRef>
          </c:yVal>
        </c:ser>
        <c:ser>
          <c:idx val="3"/>
          <c:order val="3"/>
          <c:tx>
            <c:v>rails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'pre-amp_locations'!$I$32:$I$51</c:f>
              <c:numCache>
                <c:formatCode>General</c:formatCode>
                <c:ptCount val="20"/>
                <c:pt idx="0">
                  <c:v>0</c:v>
                </c:pt>
                <c:pt idx="1">
                  <c:v>-25.166</c:v>
                </c:pt>
                <c:pt idx="2">
                  <c:v>-23.213000000000001</c:v>
                </c:pt>
                <c:pt idx="3">
                  <c:v>0</c:v>
                </c:pt>
                <c:pt idx="4">
                  <c:v>-25.166</c:v>
                </c:pt>
                <c:pt idx="5">
                  <c:v>-23.213000000000001</c:v>
                </c:pt>
                <c:pt idx="6">
                  <c:v>0</c:v>
                </c:pt>
                <c:pt idx="7">
                  <c:v>0</c:v>
                </c:pt>
                <c:pt idx="8">
                  <c:v>25.166</c:v>
                </c:pt>
                <c:pt idx="9">
                  <c:v>23.213000000000001</c:v>
                </c:pt>
                <c:pt idx="10">
                  <c:v>0</c:v>
                </c:pt>
                <c:pt idx="11">
                  <c:v>25.166</c:v>
                </c:pt>
                <c:pt idx="12">
                  <c:v>23.213000000000001</c:v>
                </c:pt>
                <c:pt idx="13">
                  <c:v>0</c:v>
                </c:pt>
                <c:pt idx="14">
                  <c:v>1.9530000000000001</c:v>
                </c:pt>
                <c:pt idx="15">
                  <c:v>-1.9530000000000001</c:v>
                </c:pt>
                <c:pt idx="16">
                  <c:v>0</c:v>
                </c:pt>
                <c:pt idx="17">
                  <c:v>1.9530000000000001</c:v>
                </c:pt>
                <c:pt idx="18">
                  <c:v>-1.9530000000000001</c:v>
                </c:pt>
                <c:pt idx="19">
                  <c:v>0</c:v>
                </c:pt>
              </c:numCache>
            </c:numRef>
          </c:xVal>
          <c:yVal>
            <c:numRef>
              <c:f>'pre-amp_locations'!$J$32:$J$51</c:f>
              <c:numCache>
                <c:formatCode>General</c:formatCode>
                <c:ptCount val="20"/>
                <c:pt idx="0">
                  <c:v>0</c:v>
                </c:pt>
                <c:pt idx="1">
                  <c:v>12.273999999999999</c:v>
                </c:pt>
                <c:pt idx="2">
                  <c:v>15.657</c:v>
                </c:pt>
                <c:pt idx="3">
                  <c:v>0</c:v>
                </c:pt>
                <c:pt idx="4">
                  <c:v>-12.273999999999999</c:v>
                </c:pt>
                <c:pt idx="5">
                  <c:v>-15.657</c:v>
                </c:pt>
                <c:pt idx="6">
                  <c:v>0</c:v>
                </c:pt>
                <c:pt idx="7">
                  <c:v>0</c:v>
                </c:pt>
                <c:pt idx="8">
                  <c:v>12.273999999999999</c:v>
                </c:pt>
                <c:pt idx="9">
                  <c:v>15.657</c:v>
                </c:pt>
                <c:pt idx="10">
                  <c:v>0</c:v>
                </c:pt>
                <c:pt idx="11">
                  <c:v>-12.273999999999999</c:v>
                </c:pt>
                <c:pt idx="12">
                  <c:v>-15.657</c:v>
                </c:pt>
                <c:pt idx="13">
                  <c:v>0</c:v>
                </c:pt>
                <c:pt idx="14">
                  <c:v>27.931999999999999</c:v>
                </c:pt>
                <c:pt idx="15">
                  <c:v>27.931999999999999</c:v>
                </c:pt>
                <c:pt idx="16">
                  <c:v>0</c:v>
                </c:pt>
                <c:pt idx="17">
                  <c:v>-27.931999999999999</c:v>
                </c:pt>
                <c:pt idx="18">
                  <c:v>-27.931999999999999</c:v>
                </c:pt>
                <c:pt idx="19">
                  <c:v>0</c:v>
                </c:pt>
              </c:numCache>
            </c:numRef>
          </c:yVal>
        </c:ser>
        <c:ser>
          <c:idx val="4"/>
          <c:order val="4"/>
          <c:tx>
            <c:v>cath2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'pre-amp_locations'!$C$55:$C$63</c:f>
              <c:numCache>
                <c:formatCode>General</c:formatCode>
                <c:ptCount val="9"/>
                <c:pt idx="0">
                  <c:v>23.384881554845645</c:v>
                </c:pt>
                <c:pt idx="1">
                  <c:v>-7.1169977994136984</c:v>
                </c:pt>
                <c:pt idx="2">
                  <c:v>-13.071336840360651</c:v>
                </c:pt>
                <c:pt idx="3">
                  <c:v>-18.91225808656133</c:v>
                </c:pt>
                <c:pt idx="4">
                  <c:v>-22.951314143112846</c:v>
                </c:pt>
                <c:pt idx="5">
                  <c:v>-23.766433649797687</c:v>
                </c:pt>
                <c:pt idx="6">
                  <c:v>-23.76643364979769</c:v>
                </c:pt>
                <c:pt idx="7">
                  <c:v>-22.405930235932843</c:v>
                </c:pt>
                <c:pt idx="8">
                  <c:v>-18.385066634855477</c:v>
                </c:pt>
              </c:numCache>
            </c:numRef>
          </c:xVal>
          <c:yVal>
            <c:numRef>
              <c:f>'pre-amp_locations'!$D$55:$D$63</c:f>
              <c:numCache>
                <c:formatCode>General</c:formatCode>
                <c:ptCount val="9"/>
                <c:pt idx="0">
                  <c:v>-5.3988253042527603</c:v>
                </c:pt>
                <c:pt idx="1">
                  <c:v>22.920478666972478</c:v>
                </c:pt>
                <c:pt idx="2">
                  <c:v>20.128093630690174</c:v>
                </c:pt>
                <c:pt idx="3">
                  <c:v>14.775875407815802</c:v>
                </c:pt>
                <c:pt idx="4">
                  <c:v>7.0169209133456789</c:v>
                </c:pt>
                <c:pt idx="5">
                  <c:v>3.3401544230415681</c:v>
                </c:pt>
                <c:pt idx="6">
                  <c:v>-3.3401544230415725</c:v>
                </c:pt>
                <c:pt idx="7">
                  <c:v>-8.60083078908721</c:v>
                </c:pt>
                <c:pt idx="8">
                  <c:v>-15.426902632476942</c:v>
                </c:pt>
              </c:numCache>
            </c:numRef>
          </c:yVal>
        </c:ser>
        <c:ser>
          <c:idx val="5"/>
          <c:order val="5"/>
          <c:tx>
            <c:v>wire2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'pre-amp_locations'!$C$51:$C$54</c:f>
              <c:numCache>
                <c:formatCode>General</c:formatCode>
                <c:ptCount val="4"/>
                <c:pt idx="0">
                  <c:v>21.612930278075893</c:v>
                </c:pt>
                <c:pt idx="1">
                  <c:v>14.160213932490143</c:v>
                </c:pt>
                <c:pt idx="2">
                  <c:v>8.6159516485659822</c:v>
                </c:pt>
                <c:pt idx="3">
                  <c:v>-3.9939080863394008</c:v>
                </c:pt>
              </c:numCache>
            </c:numRef>
          </c:xVal>
          <c:yVal>
            <c:numRef>
              <c:f>'pre-amp_locations'!$D$51:$D$54</c:f>
              <c:numCache>
                <c:formatCode>General</c:formatCode>
                <c:ptCount val="4"/>
                <c:pt idx="0">
                  <c:v>7.8664632964903802</c:v>
                </c:pt>
                <c:pt idx="1">
                  <c:v>18.124247332954607</c:v>
                </c:pt>
                <c:pt idx="2">
                  <c:v>21.32522865503611</c:v>
                </c:pt>
                <c:pt idx="3">
                  <c:v>22.650578319280786</c:v>
                </c:pt>
              </c:numCache>
            </c:numRef>
          </c:yVal>
        </c:ser>
        <c:ser>
          <c:idx val="6"/>
          <c:order val="6"/>
          <c:tx>
            <c:v>cath2mir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'pre-amp_locations'!$C$64:$C$72</c:f>
              <c:numCache>
                <c:formatCode>General</c:formatCode>
                <c:ptCount val="9"/>
                <c:pt idx="0">
                  <c:v>-15.003963921374964</c:v>
                </c:pt>
                <c:pt idx="1">
                  <c:v>21.457531051187278</c:v>
                </c:pt>
                <c:pt idx="2">
                  <c:v>21.969849764600625</c:v>
                </c:pt>
                <c:pt idx="3">
                  <c:v>20.398044800469322</c:v>
                </c:pt>
                <c:pt idx="4">
                  <c:v>16.089781435621749</c:v>
                </c:pt>
                <c:pt idx="5">
                  <c:v>13.544552457164482</c:v>
                </c:pt>
                <c:pt idx="6">
                  <c:v>8.2413450551500649</c:v>
                </c:pt>
                <c:pt idx="7">
                  <c:v>3.4415582308850792</c:v>
                </c:pt>
                <c:pt idx="8">
                  <c:v>-3.8202599086724685</c:v>
                </c:pt>
              </c:numCache>
            </c:numRef>
          </c:xVal>
          <c:yVal>
            <c:numRef>
              <c:f>'pre-amp_locations'!$D$64:$D$72</c:f>
              <c:numCache>
                <c:formatCode>General</c:formatCode>
                <c:ptCount val="9"/>
                <c:pt idx="0">
                  <c:v>16.089781435621752</c:v>
                </c:pt>
                <c:pt idx="1">
                  <c:v>4.8553435704730239</c:v>
                </c:pt>
                <c:pt idx="2">
                  <c:v>-1.1513910373447644</c:v>
                </c:pt>
                <c:pt idx="3">
                  <c:v>-8.2413450551500649</c:v>
                </c:pt>
                <c:pt idx="4">
                  <c:v>-15.003963921374966</c:v>
                </c:pt>
                <c:pt idx="5">
                  <c:v>-17.336236579347883</c:v>
                </c:pt>
                <c:pt idx="6">
                  <c:v>-20.398044800469322</c:v>
                </c:pt>
                <c:pt idx="7">
                  <c:v>-21.72914349309303</c:v>
                </c:pt>
                <c:pt idx="8">
                  <c:v>-21.665770566268577</c:v>
                </c:pt>
              </c:numCache>
            </c:numRef>
          </c:yVal>
        </c:ser>
        <c:ser>
          <c:idx val="7"/>
          <c:order val="7"/>
          <c:tx>
            <c:v>cath3mir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'pre-amp_locations'!$C$86:$C$94</c:f>
              <c:numCache>
                <c:formatCode>General</c:formatCode>
                <c:ptCount val="9"/>
                <c:pt idx="0">
                  <c:v>-24.359251619630882</c:v>
                </c:pt>
                <c:pt idx="1">
                  <c:v>7.4135393743892744</c:v>
                </c:pt>
                <c:pt idx="2">
                  <c:v>13.615975875375682</c:v>
                </c:pt>
                <c:pt idx="3">
                  <c:v>19.70026884016805</c:v>
                </c:pt>
                <c:pt idx="4">
                  <c:v>23.907618899075889</c:v>
                </c:pt>
                <c:pt idx="5">
                  <c:v>24.756701718539258</c:v>
                </c:pt>
                <c:pt idx="6">
                  <c:v>24.756701718539258</c:v>
                </c:pt>
                <c:pt idx="7">
                  <c:v>23.339510662430044</c:v>
                </c:pt>
                <c:pt idx="8">
                  <c:v>19.151111077974452</c:v>
                </c:pt>
              </c:numCache>
            </c:numRef>
          </c:xVal>
          <c:yVal>
            <c:numRef>
              <c:f>'pre-amp_locations'!$D$86:$D$94</c:f>
              <c:numCache>
                <c:formatCode>General</c:formatCode>
                <c:ptCount val="9"/>
                <c:pt idx="0">
                  <c:v>-5.6237763585966247</c:v>
                </c:pt>
                <c:pt idx="1">
                  <c:v>23.875498611429666</c:v>
                </c:pt>
                <c:pt idx="2">
                  <c:v>20.966764198635602</c:v>
                </c:pt>
                <c:pt idx="3">
                  <c:v>15.391536883141457</c:v>
                </c:pt>
                <c:pt idx="4">
                  <c:v>7.3092926180684188</c:v>
                </c:pt>
                <c:pt idx="5">
                  <c:v>3.4793275240016359</c:v>
                </c:pt>
                <c:pt idx="6">
                  <c:v>-3.4793275240016359</c:v>
                </c:pt>
                <c:pt idx="7">
                  <c:v>-8.9591987386325069</c:v>
                </c:pt>
                <c:pt idx="8">
                  <c:v>-16.069690242163482</c:v>
                </c:pt>
              </c:numCache>
            </c:numRef>
          </c:yVal>
        </c:ser>
        <c:ser>
          <c:idx val="8"/>
          <c:order val="8"/>
          <c:tx>
            <c:v>wire3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'pre-amp_locations'!$C$73:$C$76</c:f>
              <c:numCache>
                <c:formatCode>General</c:formatCode>
                <c:ptCount val="4"/>
                <c:pt idx="0">
                  <c:v>4.5148526193401874</c:v>
                </c:pt>
                <c:pt idx="1">
                  <c:v>-9.7397714288137127</c:v>
                </c:pt>
                <c:pt idx="2">
                  <c:v>-16.007198358467114</c:v>
                </c:pt>
                <c:pt idx="3">
                  <c:v>-24.43200814043362</c:v>
                </c:pt>
              </c:numCache>
            </c:numRef>
          </c:xVal>
          <c:yVal>
            <c:numRef>
              <c:f>'pre-amp_locations'!$D$73:$D$76</c:f>
              <c:numCache>
                <c:formatCode>General</c:formatCode>
                <c:ptCount val="4"/>
                <c:pt idx="0">
                  <c:v>25.60500157831741</c:v>
                </c:pt>
                <c:pt idx="1">
                  <c:v>24.106780218736475</c:v>
                </c:pt>
                <c:pt idx="2">
                  <c:v>20.488279593774774</c:v>
                </c:pt>
                <c:pt idx="3">
                  <c:v>8.8925237264673918</c:v>
                </c:pt>
              </c:numCache>
            </c:numRef>
          </c:yVal>
        </c:ser>
        <c:ser>
          <c:idx val="9"/>
          <c:order val="9"/>
          <c:tx>
            <c:v>cath3</c:v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'pre-amp_locations'!$C$77:$C$85</c:f>
              <c:numCache>
                <c:formatCode>General</c:formatCode>
                <c:ptCount val="9"/>
                <c:pt idx="0">
                  <c:v>18.413955721687461</c:v>
                </c:pt>
                <c:pt idx="1">
                  <c:v>-26.334242653729845</c:v>
                </c:pt>
                <c:pt idx="2">
                  <c:v>-26.962997438373492</c:v>
                </c:pt>
                <c:pt idx="3">
                  <c:v>-25.03396407330326</c:v>
                </c:pt>
                <c:pt idx="4">
                  <c:v>-19.7465499437176</c:v>
                </c:pt>
                <c:pt idx="5">
                  <c:v>-16.62285983379277</c:v>
                </c:pt>
                <c:pt idx="6">
                  <c:v>-10.114378022229634</c:v>
                </c:pt>
                <c:pt idx="7">
                  <c:v>-4.2237305560862399</c:v>
                </c:pt>
                <c:pt idx="8">
                  <c:v>4.6885007970071193</c:v>
                </c:pt>
              </c:numCache>
            </c:numRef>
          </c:xVal>
          <c:yVal>
            <c:numRef>
              <c:f>'pre-amp_locations'!$D$77:$D$85</c:f>
              <c:numCache>
                <c:formatCode>General</c:formatCode>
                <c:ptCount val="9"/>
                <c:pt idx="0">
                  <c:v>19.746549943717604</c:v>
                </c:pt>
                <c:pt idx="1">
                  <c:v>5.9588307455805305</c:v>
                </c:pt>
                <c:pt idx="2">
                  <c:v>-1.413070818559476</c:v>
                </c:pt>
                <c:pt idx="3">
                  <c:v>-10.114378022229625</c:v>
                </c:pt>
                <c:pt idx="4">
                  <c:v>-18.413955721687454</c:v>
                </c:pt>
                <c:pt idx="5">
                  <c:v>-21.276290347381497</c:v>
                </c:pt>
                <c:pt idx="6">
                  <c:v>-25.033964073303256</c:v>
                </c:pt>
                <c:pt idx="7">
                  <c:v>-26.667585196068718</c:v>
                </c:pt>
                <c:pt idx="8">
                  <c:v>-26.589809331329615</c:v>
                </c:pt>
              </c:numCache>
            </c:numRef>
          </c:yVal>
        </c:ser>
        <c:axId val="69433600"/>
        <c:axId val="69464448"/>
      </c:scatterChart>
      <c:valAx>
        <c:axId val="69433600"/>
        <c:scaling>
          <c:orientation val="minMax"/>
          <c:max val="28"/>
          <c:min val="-28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64448"/>
        <c:crosses val="autoZero"/>
        <c:crossBetween val="midCat"/>
        <c:majorUnit val="28"/>
        <c:minorUnit val="14"/>
      </c:valAx>
      <c:valAx>
        <c:axId val="69464448"/>
        <c:scaling>
          <c:orientation val="minMax"/>
          <c:max val="28"/>
          <c:min val="-28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433600"/>
        <c:crosses val="autoZero"/>
        <c:crossBetween val="midCat"/>
        <c:majorUnit val="28"/>
        <c:minorUnit val="1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878889684244062"/>
          <c:y val="4.1884816753926704E-2"/>
          <c:w val="0.13575770301439494"/>
          <c:h val="0.3154450261780106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77" r="0.75000000000000977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058079615048119"/>
          <c:y val="6.9919072615923034E-2"/>
          <c:w val="0.59400459317585297"/>
          <c:h val="0.79822506561679785"/>
        </c:manualLayout>
      </c:layout>
      <c:scatterChart>
        <c:scatterStyle val="smoothMarker"/>
        <c:ser>
          <c:idx val="0"/>
          <c:order val="0"/>
          <c:trendline>
            <c:trendlineType val="power"/>
          </c:trendline>
          <c:trendline>
            <c:trendlineType val="power"/>
            <c:dispEq val="1"/>
            <c:trendlineLbl>
              <c:layout>
                <c:manualLayout>
                  <c:x val="7.0439632545932921E-3"/>
                  <c:y val="0.13806940799066791"/>
                </c:manualLayout>
              </c:layout>
              <c:numFmt formatCode="General" sourceLinked="0"/>
            </c:trendlineLbl>
          </c:trendline>
          <c:xVal>
            <c:numRef>
              <c:f>thermal_fdc2!$A$70:$A$109</c:f>
              <c:numCache>
                <c:formatCode>General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</c:numCache>
            </c:numRef>
          </c:xVal>
          <c:yVal>
            <c:numRef>
              <c:f>thermal_fdc2!$B$70:$B$109</c:f>
              <c:numCache>
                <c:formatCode>General</c:formatCode>
                <c:ptCount val="40"/>
                <c:pt idx="0">
                  <c:v>27.81295366286362</c:v>
                </c:pt>
                <c:pt idx="1">
                  <c:v>22.075156002390692</c:v>
                </c:pt>
                <c:pt idx="2">
                  <c:v>19.284425065758633</c:v>
                </c:pt>
                <c:pt idx="3">
                  <c:v>17.521062970760795</c:v>
                </c:pt>
                <c:pt idx="4">
                  <c:v>16.265114059720119</c:v>
                </c:pt>
                <c:pt idx="5">
                  <c:v>15.306058353358084</c:v>
                </c:pt>
                <c:pt idx="6">
                  <c:v>14.539442973039758</c:v>
                </c:pt>
                <c:pt idx="7">
                  <c:v>13.906476927824162</c:v>
                </c:pt>
                <c:pt idx="8">
                  <c:v>13.371073587679144</c:v>
                </c:pt>
                <c:pt idx="9">
                  <c:v>12.909629614218806</c:v>
                </c:pt>
                <c:pt idx="10">
                  <c:v>12.505936542827726</c:v>
                </c:pt>
                <c:pt idx="11">
                  <c:v>12.148426593872461</c:v>
                </c:pt>
                <c:pt idx="12">
                  <c:v>11.828581463075288</c:v>
                </c:pt>
                <c:pt idx="13">
                  <c:v>11.539963561880459</c:v>
                </c:pt>
                <c:pt idx="14">
                  <c:v>11.277600253204998</c:v>
                </c:pt>
                <c:pt idx="15">
                  <c:v>11.037578077702006</c:v>
                </c:pt>
                <c:pt idx="16">
                  <c:v>10.81676702644241</c:v>
                </c:pt>
                <c:pt idx="17">
                  <c:v>10.612628164033419</c:v>
                </c:pt>
                <c:pt idx="18">
                  <c:v>10.423076282074469</c:v>
                </c:pt>
                <c:pt idx="19">
                  <c:v>10.246379838739543</c:v>
                </c:pt>
                <c:pt idx="20">
                  <c:v>10.081086745052579</c:v>
                </c:pt>
                <c:pt idx="21">
                  <c:v>9.9259684348999979</c:v>
                </c:pt>
                <c:pt idx="22">
                  <c:v>9.7799771053308877</c:v>
                </c:pt>
                <c:pt idx="23">
                  <c:v>9.6422125997140391</c:v>
                </c:pt>
                <c:pt idx="24">
                  <c:v>9.5118964559647754</c:v>
                </c:pt>
                <c:pt idx="25">
                  <c:v>9.3883513505803275</c:v>
                </c:pt>
                <c:pt idx="26">
                  <c:v>9.2709846561400511</c:v>
                </c:pt>
                <c:pt idx="27">
                  <c:v>9.1592751700642836</c:v>
                </c:pt>
                <c:pt idx="28">
                  <c:v>9.052762313612071</c:v>
                </c:pt>
                <c:pt idx="29">
                  <c:v>8.9510372734885149</c:v>
                </c:pt>
                <c:pt idx="30">
                  <c:v>8.8537356846758719</c:v>
                </c:pt>
                <c:pt idx="31">
                  <c:v>8.7605315461037758</c:v>
                </c:pt>
                <c:pt idx="32">
                  <c:v>8.671132130037245</c:v>
                </c:pt>
                <c:pt idx="33">
                  <c:v>8.5852736981710009</c:v>
                </c:pt>
                <c:pt idx="34">
                  <c:v>8.502717876995856</c:v>
                </c:pt>
                <c:pt idx="35">
                  <c:v>8.4232485753288326</c:v>
                </c:pt>
                <c:pt idx="36">
                  <c:v>8.3466693503294298</c:v>
                </c:pt>
                <c:pt idx="37">
                  <c:v>8.2728011465691296</c:v>
                </c:pt>
                <c:pt idx="38">
                  <c:v>8.2014803470323372</c:v>
                </c:pt>
                <c:pt idx="39">
                  <c:v>8.132557086230646</c:v>
                </c:pt>
              </c:numCache>
            </c:numRef>
          </c:yVal>
          <c:smooth val="1"/>
        </c:ser>
        <c:axId val="70939008"/>
        <c:axId val="70940544"/>
      </c:scatterChart>
      <c:valAx>
        <c:axId val="70939008"/>
        <c:scaling>
          <c:orientation val="minMax"/>
        </c:scaling>
        <c:axPos val="b"/>
        <c:numFmt formatCode="General" sourceLinked="1"/>
        <c:tickLblPos val="nextTo"/>
        <c:crossAx val="70940544"/>
        <c:crosses val="autoZero"/>
        <c:crossBetween val="midCat"/>
      </c:valAx>
      <c:valAx>
        <c:axId val="70940544"/>
        <c:scaling>
          <c:orientation val="minMax"/>
        </c:scaling>
        <c:axPos val="l"/>
        <c:majorGridlines/>
        <c:numFmt formatCode="General" sourceLinked="1"/>
        <c:tickLblPos val="nextTo"/>
        <c:crossAx val="70939008"/>
        <c:crosses val="autoZero"/>
        <c:crossBetween val="midCat"/>
      </c:valAx>
    </c:plotArea>
    <c:legend>
      <c:legendPos val="r"/>
      <c:legendEntry>
        <c:idx val="1"/>
        <c:delete val="1"/>
      </c:legendEntry>
    </c:legend>
    <c:plotVisOnly val="1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948840769903644"/>
          <c:y val="7.8877867539284857E-2"/>
          <c:w val="0.68243503937007965"/>
          <c:h val="0.79822506561679785"/>
        </c:manualLayout>
      </c:layout>
      <c:scatterChart>
        <c:scatterStyle val="smoothMarker"/>
        <c:ser>
          <c:idx val="0"/>
          <c:order val="0"/>
          <c:xVal>
            <c:numRef>
              <c:f>thermal_fdc2!$G$75:$G$82</c:f>
              <c:numCache>
                <c:formatCode>General</c:formatCode>
                <c:ptCount val="8"/>
                <c:pt idx="0">
                  <c:v>12.5</c:v>
                </c:pt>
                <c:pt idx="1">
                  <c:v>25</c:v>
                </c:pt>
                <c:pt idx="2">
                  <c:v>50</c:v>
                </c:pt>
                <c:pt idx="3">
                  <c:v>100</c:v>
                </c:pt>
                <c:pt idx="4">
                  <c:v>150</c:v>
                </c:pt>
                <c:pt idx="5">
                  <c:v>200</c:v>
                </c:pt>
                <c:pt idx="6">
                  <c:v>280</c:v>
                </c:pt>
                <c:pt idx="7">
                  <c:v>500</c:v>
                </c:pt>
              </c:numCache>
            </c:numRef>
          </c:xVal>
          <c:yVal>
            <c:numRef>
              <c:f>thermal_fdc2!$H$75:$H$82</c:f>
              <c:numCache>
                <c:formatCode>General</c:formatCode>
                <c:ptCount val="8"/>
                <c:pt idx="0">
                  <c:v>34.299999999999997</c:v>
                </c:pt>
                <c:pt idx="1">
                  <c:v>33.799999999999997</c:v>
                </c:pt>
                <c:pt idx="2">
                  <c:v>34.1</c:v>
                </c:pt>
                <c:pt idx="3">
                  <c:v>34.200000000000003</c:v>
                </c:pt>
                <c:pt idx="4">
                  <c:v>33.700000000000003</c:v>
                </c:pt>
                <c:pt idx="5">
                  <c:v>33.200000000000003</c:v>
                </c:pt>
                <c:pt idx="6">
                  <c:v>32.5</c:v>
                </c:pt>
                <c:pt idx="7">
                  <c:v>24.4</c:v>
                </c:pt>
              </c:numCache>
            </c:numRef>
          </c:yVal>
          <c:smooth val="1"/>
        </c:ser>
        <c:axId val="70977024"/>
        <c:axId val="70978560"/>
      </c:scatterChart>
      <c:valAx>
        <c:axId val="70977024"/>
        <c:scaling>
          <c:orientation val="minMax"/>
        </c:scaling>
        <c:axPos val="b"/>
        <c:numFmt formatCode="General" sourceLinked="1"/>
        <c:tickLblPos val="nextTo"/>
        <c:crossAx val="70978560"/>
        <c:crosses val="autoZero"/>
        <c:crossBetween val="midCat"/>
      </c:valAx>
      <c:valAx>
        <c:axId val="70978560"/>
        <c:scaling>
          <c:orientation val="minMax"/>
          <c:max val="35"/>
          <c:min val="24"/>
        </c:scaling>
        <c:axPos val="l"/>
        <c:majorGridlines/>
        <c:numFmt formatCode="General" sourceLinked="1"/>
        <c:tickLblPos val="nextTo"/>
        <c:crossAx val="70977024"/>
        <c:crosses val="autoZero"/>
        <c:crossBetween val="midCat"/>
        <c:majorUnit val="5"/>
        <c:minorUnit val="1"/>
      </c:valAx>
    </c:plotArea>
    <c:legend>
      <c:legendPos val="r"/>
    </c:legend>
    <c:plotVisOnly val="1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image" Target="../media/image3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jpeg"/><Relationship Id="rId7" Type="http://schemas.openxmlformats.org/officeDocument/2006/relationships/image" Target="../media/image1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0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chart" Target="../charts/chart5.xml"/><Relationship Id="rId7" Type="http://schemas.openxmlformats.org/officeDocument/2006/relationships/image" Target="../media/image14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image" Target="../media/image13.jpeg"/><Relationship Id="rId5" Type="http://schemas.openxmlformats.org/officeDocument/2006/relationships/chart" Target="../charts/chart7.xml"/><Relationship Id="rId10" Type="http://schemas.openxmlformats.org/officeDocument/2006/relationships/image" Target="../media/image9.jpeg"/><Relationship Id="rId4" Type="http://schemas.openxmlformats.org/officeDocument/2006/relationships/chart" Target="../charts/chart6.xml"/><Relationship Id="rId9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wmf"/><Relationship Id="rId2" Type="http://schemas.openxmlformats.org/officeDocument/2006/relationships/image" Target="../media/image5.wmf"/><Relationship Id="rId1" Type="http://schemas.openxmlformats.org/officeDocument/2006/relationships/image" Target="../media/image4.w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wmf"/><Relationship Id="rId2" Type="http://schemas.openxmlformats.org/officeDocument/2006/relationships/image" Target="../media/image18.wmf"/><Relationship Id="rId1" Type="http://schemas.openxmlformats.org/officeDocument/2006/relationships/image" Target="../media/image17.w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2" Type="http://schemas.openxmlformats.org/officeDocument/2006/relationships/image" Target="../media/image18.wmf"/><Relationship Id="rId1" Type="http://schemas.openxmlformats.org/officeDocument/2006/relationships/image" Target="../media/image17.wmf"/><Relationship Id="rId5" Type="http://schemas.openxmlformats.org/officeDocument/2006/relationships/image" Target="../media/image24.wmf"/><Relationship Id="rId4" Type="http://schemas.openxmlformats.org/officeDocument/2006/relationships/image" Target="../media/image23.w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2" Type="http://schemas.openxmlformats.org/officeDocument/2006/relationships/image" Target="../media/image18.wmf"/><Relationship Id="rId1" Type="http://schemas.openxmlformats.org/officeDocument/2006/relationships/image" Target="../media/image17.wmf"/><Relationship Id="rId5" Type="http://schemas.openxmlformats.org/officeDocument/2006/relationships/image" Target="../media/image24.wmf"/><Relationship Id="rId4" Type="http://schemas.openxmlformats.org/officeDocument/2006/relationships/image" Target="../media/image23.w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5" Type="http://schemas.openxmlformats.org/officeDocument/2006/relationships/image" Target="../media/image30.emf"/><Relationship Id="rId4" Type="http://schemas.openxmlformats.org/officeDocument/2006/relationships/image" Target="../media/image29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4.wmf"/><Relationship Id="rId2" Type="http://schemas.openxmlformats.org/officeDocument/2006/relationships/image" Target="../media/image33.wmf"/><Relationship Id="rId1" Type="http://schemas.openxmlformats.org/officeDocument/2006/relationships/image" Target="../media/image32.wmf"/><Relationship Id="rId4" Type="http://schemas.openxmlformats.org/officeDocument/2006/relationships/image" Target="../media/image35.w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9</xdr:col>
      <xdr:colOff>257175</xdr:colOff>
      <xdr:row>23</xdr:row>
      <xdr:rowOff>38100</xdr:rowOff>
    </xdr:to>
    <xdr:pic>
      <xdr:nvPicPr>
        <xdr:cNvPr id="4116" name="Picture 1" descr="BEND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38100"/>
          <a:ext cx="6905625" cy="3724275"/>
        </a:xfrm>
        <a:prstGeom prst="rect">
          <a:avLst/>
        </a:prstGeom>
        <a:noFill/>
        <a:ln w="25400">
          <a:solidFill>
            <a:srgbClr val="FF0000"/>
          </a:solidFill>
          <a:miter lim="800000"/>
          <a:headEnd/>
          <a:tailEnd/>
        </a:ln>
      </xdr:spPr>
    </xdr:pic>
    <xdr:clientData/>
  </xdr:twoCellAnchor>
  <xdr:twoCellAnchor editAs="oneCell">
    <xdr:from>
      <xdr:col>12</xdr:col>
      <xdr:colOff>173627</xdr:colOff>
      <xdr:row>25</xdr:row>
      <xdr:rowOff>66674</xdr:rowOff>
    </xdr:from>
    <xdr:to>
      <xdr:col>18</xdr:col>
      <xdr:colOff>466725</xdr:colOff>
      <xdr:row>38</xdr:row>
      <xdr:rowOff>57149</xdr:rowOff>
    </xdr:to>
    <xdr:pic>
      <xdr:nvPicPr>
        <xdr:cNvPr id="3" name="Picture 2" descr="compressive_are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08152" y="4114799"/>
          <a:ext cx="3950698" cy="38385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142875</xdr:rowOff>
    </xdr:from>
    <xdr:to>
      <xdr:col>17</xdr:col>
      <xdr:colOff>514350</xdr:colOff>
      <xdr:row>24</xdr:row>
      <xdr:rowOff>123825</xdr:rowOff>
    </xdr:to>
    <xdr:pic>
      <xdr:nvPicPr>
        <xdr:cNvPr id="4" name="Picture 3" descr="ORING_COMP_FORC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77175" y="628650"/>
          <a:ext cx="5219700" cy="3381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6</xdr:col>
      <xdr:colOff>0</xdr:colOff>
      <xdr:row>18</xdr:row>
      <xdr:rowOff>66675</xdr:rowOff>
    </xdr:to>
    <xdr:pic>
      <xdr:nvPicPr>
        <xdr:cNvPr id="2" name="Picture 1" descr="CRITICALSPEE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23850"/>
          <a:ext cx="3657600" cy="26574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18</xdr:row>
      <xdr:rowOff>95250</xdr:rowOff>
    </xdr:from>
    <xdr:to>
      <xdr:col>12</xdr:col>
      <xdr:colOff>400050</xdr:colOff>
      <xdr:row>42</xdr:row>
      <xdr:rowOff>85725</xdr:rowOff>
    </xdr:to>
    <xdr:pic>
      <xdr:nvPicPr>
        <xdr:cNvPr id="3" name="Picture 2" descr="BALLSCREW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3009900"/>
          <a:ext cx="7648575" cy="3876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0</xdr:row>
      <xdr:rowOff>38101</xdr:rowOff>
    </xdr:from>
    <xdr:to>
      <xdr:col>13</xdr:col>
      <xdr:colOff>151119</xdr:colOff>
      <xdr:row>14</xdr:row>
      <xdr:rowOff>152401</xdr:rowOff>
    </xdr:to>
    <xdr:pic>
      <xdr:nvPicPr>
        <xdr:cNvPr id="8" name="Picture 7" descr="TIERO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05375" y="38101"/>
          <a:ext cx="3170544" cy="2609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15</xdr:col>
      <xdr:colOff>476250</xdr:colOff>
      <xdr:row>54</xdr:row>
      <xdr:rowOff>57150</xdr:rowOff>
    </xdr:to>
    <xdr:pic>
      <xdr:nvPicPr>
        <xdr:cNvPr id="9" name="Picture 8" descr="creep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3276600"/>
          <a:ext cx="10001250" cy="5781675"/>
        </a:xfrm>
        <a:prstGeom prst="rect">
          <a:avLst/>
        </a:prstGeom>
      </xdr:spPr>
    </xdr:pic>
    <xdr:clientData/>
  </xdr:twoCellAnchor>
  <xdr:twoCellAnchor>
    <xdr:from>
      <xdr:col>13</xdr:col>
      <xdr:colOff>504825</xdr:colOff>
      <xdr:row>1</xdr:row>
      <xdr:rowOff>47625</xdr:rowOff>
    </xdr:from>
    <xdr:to>
      <xdr:col>20</xdr:col>
      <xdr:colOff>0</xdr:colOff>
      <xdr:row>16</xdr:row>
      <xdr:rowOff>47625</xdr:rowOff>
    </xdr:to>
    <xdr:sp macro="" textlink="">
      <xdr:nvSpPr>
        <xdr:cNvPr id="4" name="TextBox 3"/>
        <xdr:cNvSpPr txBox="1"/>
      </xdr:nvSpPr>
      <xdr:spPr>
        <a:xfrm>
          <a:off x="9420225" y="209550"/>
          <a:ext cx="3762375" cy="26574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/>
            <a:t>on our torque screwdriver  driving a 10-32 nut</a:t>
          </a:r>
          <a:r>
            <a:rPr lang="en-US" sz="2000" b="1" baseline="0"/>
            <a:t> to lift a 50 pound weight, a scale setting of 53 oz-inches is required.</a:t>
          </a:r>
          <a:endParaRPr lang="en-US" sz="20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352425</xdr:colOff>
      <xdr:row>12</xdr:row>
      <xdr:rowOff>352425</xdr:rowOff>
    </xdr:from>
    <xdr:to>
      <xdr:col>16</xdr:col>
      <xdr:colOff>187325</xdr:colOff>
      <xdr:row>34</xdr:row>
      <xdr:rowOff>34925</xdr:rowOff>
    </xdr:to>
    <xdr:pic>
      <xdr:nvPicPr>
        <xdr:cNvPr id="2" name="Picture 1" descr="wire_tension.bmp"/>
        <xdr:cNvPicPr/>
      </xdr:nvPicPr>
      <xdr:blipFill>
        <a:blip xmlns:r="http://schemas.openxmlformats.org/officeDocument/2006/relationships" r:embed="rId1" cstate="print"/>
        <a:srcRect l="24440" t="14614" r="37407" b="25470"/>
        <a:stretch>
          <a:fillRect/>
        </a:stretch>
      </xdr:blipFill>
      <xdr:spPr>
        <a:xfrm>
          <a:off x="10201275" y="2476500"/>
          <a:ext cx="2273300" cy="3644900"/>
        </a:xfrm>
        <a:prstGeom prst="rect">
          <a:avLst/>
        </a:prstGeom>
      </xdr:spPr>
    </xdr:pic>
    <xdr:clientData/>
  </xdr:twoCellAnchor>
  <xdr:twoCellAnchor editAs="oneCell">
    <xdr:from>
      <xdr:col>11</xdr:col>
      <xdr:colOff>276224</xdr:colOff>
      <xdr:row>0</xdr:row>
      <xdr:rowOff>85725</xdr:rowOff>
    </xdr:from>
    <xdr:to>
      <xdr:col>21</xdr:col>
      <xdr:colOff>550136</xdr:colOff>
      <xdr:row>9</xdr:row>
      <xdr:rowOff>104775</xdr:rowOff>
    </xdr:to>
    <xdr:pic>
      <xdr:nvPicPr>
        <xdr:cNvPr id="3" name="Picture 2" descr="vibrating_string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3999" y="85725"/>
          <a:ext cx="6741387" cy="1476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0</xdr:row>
      <xdr:rowOff>47626</xdr:rowOff>
    </xdr:from>
    <xdr:to>
      <xdr:col>23</xdr:col>
      <xdr:colOff>180976</xdr:colOff>
      <xdr:row>16</xdr:row>
      <xdr:rowOff>358159</xdr:rowOff>
    </xdr:to>
    <xdr:pic>
      <xdr:nvPicPr>
        <xdr:cNvPr id="2" name="Picture 1" descr="WIRE DEADENING LENGTH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68050" y="47626"/>
          <a:ext cx="6677026" cy="4625358"/>
        </a:xfrm>
        <a:prstGeom prst="rect">
          <a:avLst/>
        </a:prstGeom>
        <a:ln w="76200">
          <a:solidFill>
            <a:srgbClr val="00B050"/>
          </a:solidFill>
        </a:ln>
      </xdr:spPr>
    </xdr:pic>
    <xdr:clientData/>
  </xdr:twoCellAnchor>
  <xdr:twoCellAnchor editAs="oneCell">
    <xdr:from>
      <xdr:col>2</xdr:col>
      <xdr:colOff>47625</xdr:colOff>
      <xdr:row>18</xdr:row>
      <xdr:rowOff>76200</xdr:rowOff>
    </xdr:from>
    <xdr:to>
      <xdr:col>11</xdr:col>
      <xdr:colOff>402729</xdr:colOff>
      <xdr:row>30</xdr:row>
      <xdr:rowOff>0</xdr:rowOff>
    </xdr:to>
    <xdr:pic>
      <xdr:nvPicPr>
        <xdr:cNvPr id="3" name="Picture 2" descr="faradays law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43300" y="5200650"/>
          <a:ext cx="7108329" cy="3333750"/>
        </a:xfrm>
        <a:prstGeom prst="rect">
          <a:avLst/>
        </a:prstGeom>
      </xdr:spPr>
    </xdr:pic>
    <xdr:clientData/>
  </xdr:twoCellAnchor>
  <xdr:twoCellAnchor>
    <xdr:from>
      <xdr:col>12</xdr:col>
      <xdr:colOff>152399</xdr:colOff>
      <xdr:row>17</xdr:row>
      <xdr:rowOff>0</xdr:rowOff>
    </xdr:from>
    <xdr:to>
      <xdr:col>23</xdr:col>
      <xdr:colOff>266700</xdr:colOff>
      <xdr:row>33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590550</xdr:colOff>
      <xdr:row>45</xdr:row>
      <xdr:rowOff>66675</xdr:rowOff>
    </xdr:from>
    <xdr:to>
      <xdr:col>17</xdr:col>
      <xdr:colOff>200025</xdr:colOff>
      <xdr:row>52</xdr:row>
      <xdr:rowOff>57150</xdr:rowOff>
    </xdr:to>
    <xdr:sp macro="" textlink="">
      <xdr:nvSpPr>
        <xdr:cNvPr id="6" name="TextBox 5"/>
        <xdr:cNvSpPr txBox="1"/>
      </xdr:nvSpPr>
      <xdr:spPr>
        <a:xfrm>
          <a:off x="12668250" y="11372850"/>
          <a:ext cx="1438275" cy="11239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THIS IS FOR .018</a:t>
          </a:r>
          <a:r>
            <a:rPr lang="en-US" sz="1100" baseline="0"/>
            <a:t> AMP CURRENT. NOTE THAT  EACH WIRE MIGHT NEED  A DIFFERENT CURRENT.</a:t>
          </a:r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28</xdr:row>
      <xdr:rowOff>19050</xdr:rowOff>
    </xdr:from>
    <xdr:to>
      <xdr:col>17</xdr:col>
      <xdr:colOff>381000</xdr:colOff>
      <xdr:row>41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47</xdr:row>
      <xdr:rowOff>0</xdr:rowOff>
    </xdr:from>
    <xdr:to>
      <xdr:col>17</xdr:col>
      <xdr:colOff>304800</xdr:colOff>
      <xdr:row>62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409575</xdr:colOff>
      <xdr:row>22</xdr:row>
      <xdr:rowOff>133350</xdr:rowOff>
    </xdr:from>
    <xdr:to>
      <xdr:col>14</xdr:col>
      <xdr:colOff>161925</xdr:colOff>
      <xdr:row>28</xdr:row>
      <xdr:rowOff>5581</xdr:rowOff>
    </xdr:to>
    <xdr:pic>
      <xdr:nvPicPr>
        <xdr:cNvPr id="4" name="Picture 3" descr="combined curve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67175" y="4324350"/>
          <a:ext cx="4629150" cy="1015231"/>
        </a:xfrm>
        <a:prstGeom prst="rect">
          <a:avLst/>
        </a:prstGeom>
      </xdr:spPr>
    </xdr:pic>
    <xdr:clientData/>
  </xdr:twoCellAnchor>
  <xdr:twoCellAnchor>
    <xdr:from>
      <xdr:col>11</xdr:col>
      <xdr:colOff>380999</xdr:colOff>
      <xdr:row>27</xdr:row>
      <xdr:rowOff>47625</xdr:rowOff>
    </xdr:from>
    <xdr:to>
      <xdr:col>13</xdr:col>
      <xdr:colOff>180974</xdr:colOff>
      <xdr:row>31</xdr:row>
      <xdr:rowOff>142875</xdr:rowOff>
    </xdr:to>
    <xdr:cxnSp macro="">
      <xdr:nvCxnSpPr>
        <xdr:cNvPr id="5" name="Straight Arrow Connector 4"/>
        <xdr:cNvCxnSpPr/>
      </xdr:nvCxnSpPr>
      <xdr:spPr>
        <a:xfrm rot="16200000" flipH="1">
          <a:off x="7167562" y="5110162"/>
          <a:ext cx="857250" cy="1019175"/>
        </a:xfrm>
        <a:prstGeom prst="straightConnector1">
          <a:avLst/>
        </a:prstGeom>
        <a:ln w="508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333375</xdr:colOff>
      <xdr:row>47</xdr:row>
      <xdr:rowOff>38100</xdr:rowOff>
    </xdr:from>
    <xdr:to>
      <xdr:col>11</xdr:col>
      <xdr:colOff>447675</xdr:colOff>
      <xdr:row>54</xdr:row>
      <xdr:rowOff>152400</xdr:rowOff>
    </xdr:to>
    <xdr:cxnSp macro="">
      <xdr:nvCxnSpPr>
        <xdr:cNvPr id="6" name="Straight Arrow Connector 5"/>
        <xdr:cNvCxnSpPr/>
      </xdr:nvCxnSpPr>
      <xdr:spPr>
        <a:xfrm rot="16200000" flipH="1">
          <a:off x="5762625" y="9048750"/>
          <a:ext cx="1447800" cy="1333500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504825</xdr:colOff>
      <xdr:row>0</xdr:row>
      <xdr:rowOff>171450</xdr:rowOff>
    </xdr:from>
    <xdr:to>
      <xdr:col>11</xdr:col>
      <xdr:colOff>230712</xdr:colOff>
      <xdr:row>18</xdr:row>
      <xdr:rowOff>171450</xdr:rowOff>
    </xdr:to>
    <xdr:pic>
      <xdr:nvPicPr>
        <xdr:cNvPr id="7" name="Picture 6" descr="sag page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43225" y="171450"/>
          <a:ext cx="3993087" cy="3429000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11</xdr:col>
      <xdr:colOff>228599</xdr:colOff>
      <xdr:row>0</xdr:row>
      <xdr:rowOff>142875</xdr:rowOff>
    </xdr:from>
    <xdr:to>
      <xdr:col>19</xdr:col>
      <xdr:colOff>257174</xdr:colOff>
      <xdr:row>18</xdr:row>
      <xdr:rowOff>183969</xdr:rowOff>
    </xdr:to>
    <xdr:pic>
      <xdr:nvPicPr>
        <xdr:cNvPr id="8" name="Picture 7" descr="sag pag2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34199" y="142875"/>
          <a:ext cx="4905375" cy="347009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19</xdr:col>
      <xdr:colOff>333375</xdr:colOff>
      <xdr:row>0</xdr:row>
      <xdr:rowOff>133350</xdr:rowOff>
    </xdr:from>
    <xdr:to>
      <xdr:col>27</xdr:col>
      <xdr:colOff>571500</xdr:colOff>
      <xdr:row>18</xdr:row>
      <xdr:rowOff>180975</xdr:rowOff>
    </xdr:to>
    <xdr:pic>
      <xdr:nvPicPr>
        <xdr:cNvPr id="9" name="Picture 8" descr="sagpg3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915775" y="133350"/>
          <a:ext cx="5114925" cy="3476625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17</xdr:col>
      <xdr:colOff>514350</xdr:colOff>
      <xdr:row>21</xdr:row>
      <xdr:rowOff>85725</xdr:rowOff>
    </xdr:from>
    <xdr:to>
      <xdr:col>23</xdr:col>
      <xdr:colOff>333375</xdr:colOff>
      <xdr:row>24</xdr:row>
      <xdr:rowOff>85725</xdr:rowOff>
    </xdr:to>
    <xdr:sp macro="" textlink="">
      <xdr:nvSpPr>
        <xdr:cNvPr id="10" name="TextBox 9"/>
        <xdr:cNvSpPr txBox="1"/>
      </xdr:nvSpPr>
      <xdr:spPr>
        <a:xfrm>
          <a:off x="10877550" y="4086225"/>
          <a:ext cx="3476625" cy="571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/>
            <a:t>Rearrange and</a:t>
          </a:r>
          <a:r>
            <a:rPr lang="en-US" sz="2400" baseline="0"/>
            <a:t> combine:</a:t>
          </a:r>
          <a:endParaRPr lang="en-US" sz="2400"/>
        </a:p>
      </xdr:txBody>
    </xdr:sp>
    <xdr:clientData/>
  </xdr:twoCellAnchor>
  <xdr:twoCellAnchor>
    <xdr:from>
      <xdr:col>21</xdr:col>
      <xdr:colOff>257175</xdr:colOff>
      <xdr:row>20</xdr:row>
      <xdr:rowOff>19051</xdr:rowOff>
    </xdr:from>
    <xdr:to>
      <xdr:col>21</xdr:col>
      <xdr:colOff>571500</xdr:colOff>
      <xdr:row>21</xdr:row>
      <xdr:rowOff>123826</xdr:rowOff>
    </xdr:to>
    <xdr:cxnSp macro="">
      <xdr:nvCxnSpPr>
        <xdr:cNvPr id="11" name="Straight Arrow Connector 10"/>
        <xdr:cNvCxnSpPr/>
      </xdr:nvCxnSpPr>
      <xdr:spPr>
        <a:xfrm rot="5400000">
          <a:off x="13068300" y="3819526"/>
          <a:ext cx="295275" cy="314325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76200</xdr:colOff>
      <xdr:row>22</xdr:row>
      <xdr:rowOff>180975</xdr:rowOff>
    </xdr:from>
    <xdr:to>
      <xdr:col>17</xdr:col>
      <xdr:colOff>514350</xdr:colOff>
      <xdr:row>24</xdr:row>
      <xdr:rowOff>142875</xdr:rowOff>
    </xdr:to>
    <xdr:cxnSp macro="">
      <xdr:nvCxnSpPr>
        <xdr:cNvPr id="12" name="Straight Arrow Connector 11"/>
        <xdr:cNvCxnSpPr>
          <a:stCxn id="10" idx="1"/>
        </xdr:cNvCxnSpPr>
      </xdr:nvCxnSpPr>
      <xdr:spPr>
        <a:xfrm rot="10800000" flipV="1">
          <a:off x="8610600" y="4371975"/>
          <a:ext cx="2266950" cy="342900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57</xdr:row>
      <xdr:rowOff>152400</xdr:rowOff>
    </xdr:from>
    <xdr:to>
      <xdr:col>14</xdr:col>
      <xdr:colOff>381000</xdr:colOff>
      <xdr:row>84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66</xdr:row>
      <xdr:rowOff>38100</xdr:rowOff>
    </xdr:from>
    <xdr:to>
      <xdr:col>27</xdr:col>
      <xdr:colOff>552450</xdr:colOff>
      <xdr:row>111</xdr:row>
      <xdr:rowOff>28575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25</xdr:col>
      <xdr:colOff>323850</xdr:colOff>
      <xdr:row>35</xdr:row>
      <xdr:rowOff>9525</xdr:rowOff>
    </xdr:from>
    <xdr:to>
      <xdr:col>33</xdr:col>
      <xdr:colOff>504825</xdr:colOff>
      <xdr:row>63</xdr:row>
      <xdr:rowOff>123825</xdr:rowOff>
    </xdr:to>
    <xdr:pic>
      <xdr:nvPicPr>
        <xdr:cNvPr id="9" name="Picture 8" descr="drift_cel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726025" y="6010275"/>
          <a:ext cx="5057775" cy="475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304800</xdr:colOff>
      <xdr:row>68</xdr:row>
      <xdr:rowOff>66675</xdr:rowOff>
    </xdr:from>
    <xdr:to>
      <xdr:col>41</xdr:col>
      <xdr:colOff>381000</xdr:colOff>
      <xdr:row>101</xdr:row>
      <xdr:rowOff>123825</xdr:rowOff>
    </xdr:to>
    <xdr:pic>
      <xdr:nvPicPr>
        <xdr:cNvPr id="10" name="Picture 9" descr="half_segmen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74175" y="11496675"/>
          <a:ext cx="5562600" cy="543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34</xdr:col>
      <xdr:colOff>180975</xdr:colOff>
      <xdr:row>35</xdr:row>
      <xdr:rowOff>85725</xdr:rowOff>
    </xdr:from>
    <xdr:to>
      <xdr:col>42</xdr:col>
      <xdr:colOff>123825</xdr:colOff>
      <xdr:row>67</xdr:row>
      <xdr:rowOff>9525</xdr:rowOff>
    </xdr:to>
    <xdr:pic>
      <xdr:nvPicPr>
        <xdr:cNvPr id="11" name="Picture 10" descr="full_segmen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069550" y="6086475"/>
          <a:ext cx="4819650" cy="521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409575</xdr:colOff>
      <xdr:row>0</xdr:row>
      <xdr:rowOff>0</xdr:rowOff>
    </xdr:from>
    <xdr:to>
      <xdr:col>23</xdr:col>
      <xdr:colOff>409575</xdr:colOff>
      <xdr:row>32</xdr:row>
      <xdr:rowOff>126545</xdr:rowOff>
    </xdr:to>
    <xdr:pic>
      <xdr:nvPicPr>
        <xdr:cNvPr id="12" name="Picture 11" descr="upstream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496550" y="0"/>
          <a:ext cx="6096000" cy="5660570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24</xdr:col>
      <xdr:colOff>342900</xdr:colOff>
      <xdr:row>0</xdr:row>
      <xdr:rowOff>0</xdr:rowOff>
    </xdr:from>
    <xdr:to>
      <xdr:col>32</xdr:col>
      <xdr:colOff>457614</xdr:colOff>
      <xdr:row>32</xdr:row>
      <xdr:rowOff>152400</xdr:rowOff>
    </xdr:to>
    <xdr:pic>
      <xdr:nvPicPr>
        <xdr:cNvPr id="13" name="Picture 12" descr="wireboard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135475" y="0"/>
          <a:ext cx="4991514" cy="5686425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 editAs="oneCell">
    <xdr:from>
      <xdr:col>33</xdr:col>
      <xdr:colOff>26587</xdr:colOff>
      <xdr:row>0</xdr:row>
      <xdr:rowOff>0</xdr:rowOff>
    </xdr:from>
    <xdr:to>
      <xdr:col>43</xdr:col>
      <xdr:colOff>504382</xdr:colOff>
      <xdr:row>31</xdr:row>
      <xdr:rowOff>104775</xdr:rowOff>
    </xdr:to>
    <xdr:pic>
      <xdr:nvPicPr>
        <xdr:cNvPr id="14" name="Picture 13" descr="downstream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305562" y="0"/>
          <a:ext cx="6573795" cy="5476875"/>
        </a:xfrm>
        <a:prstGeom prst="rect">
          <a:avLst/>
        </a:prstGeom>
        <a:ln>
          <a:solidFill>
            <a:srgbClr val="FF66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409575</xdr:colOff>
      <xdr:row>51</xdr:row>
      <xdr:rowOff>47625</xdr:rowOff>
    </xdr:from>
    <xdr:to>
      <xdr:col>15</xdr:col>
      <xdr:colOff>428625</xdr:colOff>
      <xdr:row>71</xdr:row>
      <xdr:rowOff>9525</xdr:rowOff>
    </xdr:to>
    <xdr:graphicFrame macro="">
      <xdr:nvGraphicFramePr>
        <xdr:cNvPr id="32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476250</xdr:colOff>
      <xdr:row>94</xdr:row>
      <xdr:rowOff>19050</xdr:rowOff>
    </xdr:from>
    <xdr:to>
      <xdr:col>5</xdr:col>
      <xdr:colOff>495300</xdr:colOff>
      <xdr:row>121</xdr:row>
      <xdr:rowOff>9525</xdr:rowOff>
    </xdr:to>
    <xdr:graphicFrame macro="">
      <xdr:nvGraphicFramePr>
        <xdr:cNvPr id="323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71</xdr:row>
      <xdr:rowOff>114300</xdr:rowOff>
    </xdr:from>
    <xdr:to>
      <xdr:col>12</xdr:col>
      <xdr:colOff>371475</xdr:colOff>
      <xdr:row>95</xdr:row>
      <xdr:rowOff>123825</xdr:rowOff>
    </xdr:to>
    <xdr:graphicFrame macro="">
      <xdr:nvGraphicFramePr>
        <xdr:cNvPr id="32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28575</xdr:colOff>
      <xdr:row>51</xdr:row>
      <xdr:rowOff>57150</xdr:rowOff>
    </xdr:from>
    <xdr:to>
      <xdr:col>9</xdr:col>
      <xdr:colOff>409575</xdr:colOff>
      <xdr:row>71</xdr:row>
      <xdr:rowOff>28575</xdr:rowOff>
    </xdr:to>
    <xdr:graphicFrame macro="">
      <xdr:nvGraphicFramePr>
        <xdr:cNvPr id="323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98</xdr:row>
      <xdr:rowOff>0</xdr:rowOff>
    </xdr:from>
    <xdr:to>
      <xdr:col>18</xdr:col>
      <xdr:colOff>542925</xdr:colOff>
      <xdr:row>142</xdr:row>
      <xdr:rowOff>152400</xdr:rowOff>
    </xdr:to>
    <xdr:graphicFrame macro="">
      <xdr:nvGraphicFramePr>
        <xdr:cNvPr id="323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1609725</xdr:colOff>
      <xdr:row>0</xdr:row>
      <xdr:rowOff>57150</xdr:rowOff>
    </xdr:from>
    <xdr:to>
      <xdr:col>5</xdr:col>
      <xdr:colOff>695325</xdr:colOff>
      <xdr:row>24</xdr:row>
      <xdr:rowOff>104775</xdr:rowOff>
    </xdr:to>
    <xdr:pic>
      <xdr:nvPicPr>
        <xdr:cNvPr id="3238" name="Picture 6" descr="wireboard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09725" y="57150"/>
          <a:ext cx="4086225" cy="4000500"/>
        </a:xfrm>
        <a:prstGeom prst="rect">
          <a:avLst/>
        </a:prstGeom>
        <a:noFill/>
        <a:ln w="25400">
          <a:solidFill>
            <a:srgbClr val="FF0000"/>
          </a:solidFill>
          <a:miter lim="800000"/>
          <a:headEnd/>
          <a:tailEnd/>
        </a:ln>
      </xdr:spPr>
    </xdr:pic>
    <xdr:clientData/>
  </xdr:twoCellAnchor>
  <xdr:twoCellAnchor editAs="oneCell">
    <xdr:from>
      <xdr:col>5</xdr:col>
      <xdr:colOff>809625</xdr:colOff>
      <xdr:row>0</xdr:row>
      <xdr:rowOff>57150</xdr:rowOff>
    </xdr:from>
    <xdr:to>
      <xdr:col>13</xdr:col>
      <xdr:colOff>371475</xdr:colOff>
      <xdr:row>27</xdr:row>
      <xdr:rowOff>381000</xdr:rowOff>
    </xdr:to>
    <xdr:pic>
      <xdr:nvPicPr>
        <xdr:cNvPr id="3239" name="Picture 7" descr="cathod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10250" y="57150"/>
          <a:ext cx="4648200" cy="4800600"/>
        </a:xfrm>
        <a:prstGeom prst="rect">
          <a:avLst/>
        </a:prstGeom>
        <a:noFill/>
        <a:ln w="25400">
          <a:solidFill>
            <a:srgbClr val="FF0000"/>
          </a:solidFill>
          <a:miter lim="800000"/>
          <a:headEnd/>
          <a:tailEnd/>
        </a:ln>
      </xdr:spPr>
    </xdr:pic>
    <xdr:clientData/>
  </xdr:twoCellAnchor>
  <xdr:twoCellAnchor editAs="oneCell">
    <xdr:from>
      <xdr:col>13</xdr:col>
      <xdr:colOff>485775</xdr:colOff>
      <xdr:row>0</xdr:row>
      <xdr:rowOff>104775</xdr:rowOff>
    </xdr:from>
    <xdr:to>
      <xdr:col>22</xdr:col>
      <xdr:colOff>57150</xdr:colOff>
      <xdr:row>27</xdr:row>
      <xdr:rowOff>381000</xdr:rowOff>
    </xdr:to>
    <xdr:pic>
      <xdr:nvPicPr>
        <xdr:cNvPr id="3240" name="Picture 8" descr="drift_cel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72750" y="104775"/>
          <a:ext cx="5057775" cy="475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66675</xdr:colOff>
      <xdr:row>31</xdr:row>
      <xdr:rowOff>95250</xdr:rowOff>
    </xdr:from>
    <xdr:to>
      <xdr:col>26</xdr:col>
      <xdr:colOff>142875</xdr:colOff>
      <xdr:row>64</xdr:row>
      <xdr:rowOff>47625</xdr:rowOff>
    </xdr:to>
    <xdr:pic>
      <xdr:nvPicPr>
        <xdr:cNvPr id="3241" name="Picture 9" descr="half_segment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592050" y="5591175"/>
          <a:ext cx="5562600" cy="543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342900</xdr:colOff>
      <xdr:row>0</xdr:row>
      <xdr:rowOff>0</xdr:rowOff>
    </xdr:from>
    <xdr:to>
      <xdr:col>31</xdr:col>
      <xdr:colOff>285750</xdr:colOff>
      <xdr:row>29</xdr:row>
      <xdr:rowOff>38100</xdr:rowOff>
    </xdr:to>
    <xdr:pic>
      <xdr:nvPicPr>
        <xdr:cNvPr id="3242" name="Picture 10" descr="full_segmen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525875" y="0"/>
          <a:ext cx="4819650" cy="521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619125</xdr:colOff>
      <xdr:row>30</xdr:row>
      <xdr:rowOff>28575</xdr:rowOff>
    </xdr:from>
    <xdr:to>
      <xdr:col>12</xdr:col>
      <xdr:colOff>104775</xdr:colOff>
      <xdr:row>32</xdr:row>
      <xdr:rowOff>9525</xdr:rowOff>
    </xdr:to>
    <xdr:sp macro="" textlink="">
      <xdr:nvSpPr>
        <xdr:cNvPr id="6" name="TextBox 5"/>
        <xdr:cNvSpPr txBox="1"/>
      </xdr:nvSpPr>
      <xdr:spPr>
        <a:xfrm>
          <a:off x="12287250" y="6753225"/>
          <a:ext cx="1524000" cy="419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velocity</a:t>
          </a:r>
          <a:r>
            <a:rPr lang="en-US" sz="1100" baseline="0"/>
            <a:t> less than 6 feet/sec -okay</a:t>
          </a:r>
        </a:p>
        <a:p>
          <a:endParaRPr lang="en-US" sz="1100"/>
        </a:p>
      </xdr:txBody>
    </xdr:sp>
    <xdr:clientData/>
  </xdr:twoCellAnchor>
  <xdr:twoCellAnchor>
    <xdr:from>
      <xdr:col>12</xdr:col>
      <xdr:colOff>443667</xdr:colOff>
      <xdr:row>29</xdr:row>
      <xdr:rowOff>5421</xdr:rowOff>
    </xdr:from>
    <xdr:to>
      <xdr:col>12</xdr:col>
      <xdr:colOff>699165</xdr:colOff>
      <xdr:row>48</xdr:row>
      <xdr:rowOff>136664</xdr:rowOff>
    </xdr:to>
    <xdr:sp macro="" textlink="">
      <xdr:nvSpPr>
        <xdr:cNvPr id="8" name="Down Arrow 7"/>
        <xdr:cNvSpPr/>
      </xdr:nvSpPr>
      <xdr:spPr>
        <a:xfrm rot="18900000" flipH="1">
          <a:off x="14150142" y="6568146"/>
          <a:ext cx="255498" cy="4026968"/>
        </a:xfrm>
        <a:prstGeom prst="downArrow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38100</xdr:colOff>
      <xdr:row>86</xdr:row>
      <xdr:rowOff>142875</xdr:rowOff>
    </xdr:from>
    <xdr:to>
      <xdr:col>5</xdr:col>
      <xdr:colOff>200025</xdr:colOff>
      <xdr:row>103</xdr:row>
      <xdr:rowOff>133350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161925</xdr:colOff>
      <xdr:row>79</xdr:row>
      <xdr:rowOff>9525</xdr:rowOff>
    </xdr:from>
    <xdr:to>
      <xdr:col>22</xdr:col>
      <xdr:colOff>609600</xdr:colOff>
      <xdr:row>97</xdr:row>
      <xdr:rowOff>28575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276224</xdr:colOff>
      <xdr:row>48</xdr:row>
      <xdr:rowOff>95250</xdr:rowOff>
    </xdr:from>
    <xdr:to>
      <xdr:col>26</xdr:col>
      <xdr:colOff>152399</xdr:colOff>
      <xdr:row>64</xdr:row>
      <xdr:rowOff>66675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0</xdr:row>
      <xdr:rowOff>0</xdr:rowOff>
    </xdr:from>
    <xdr:to>
      <xdr:col>5</xdr:col>
      <xdr:colOff>895350</xdr:colOff>
      <xdr:row>11</xdr:row>
      <xdr:rowOff>85725</xdr:rowOff>
    </xdr:to>
    <xdr:pic>
      <xdr:nvPicPr>
        <xdr:cNvPr id="2090" name="Picture 6" descr="heat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00475" y="0"/>
          <a:ext cx="3248025" cy="2162175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981075</xdr:colOff>
      <xdr:row>33</xdr:row>
      <xdr:rowOff>57150</xdr:rowOff>
    </xdr:from>
    <xdr:to>
      <xdr:col>13</xdr:col>
      <xdr:colOff>95250</xdr:colOff>
      <xdr:row>47</xdr:row>
      <xdr:rowOff>19050</xdr:rowOff>
    </xdr:to>
    <xdr:pic>
      <xdr:nvPicPr>
        <xdr:cNvPr id="2091" name="Picture 11" descr="cool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53400" y="9553575"/>
          <a:ext cx="5172075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0</xdr:row>
      <xdr:rowOff>0</xdr:rowOff>
    </xdr:from>
    <xdr:to>
      <xdr:col>6</xdr:col>
      <xdr:colOff>276225</xdr:colOff>
      <xdr:row>11</xdr:row>
      <xdr:rowOff>85725</xdr:rowOff>
    </xdr:to>
    <xdr:pic>
      <xdr:nvPicPr>
        <xdr:cNvPr id="2" name="Picture 6" descr="heat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00475" y="0"/>
          <a:ext cx="3248025" cy="2162175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981075</xdr:colOff>
      <xdr:row>68</xdr:row>
      <xdr:rowOff>57150</xdr:rowOff>
    </xdr:from>
    <xdr:to>
      <xdr:col>12</xdr:col>
      <xdr:colOff>504825</xdr:colOff>
      <xdr:row>82</xdr:row>
      <xdr:rowOff>171450</xdr:rowOff>
    </xdr:to>
    <xdr:pic>
      <xdr:nvPicPr>
        <xdr:cNvPr id="3" name="Picture 11" descr="cool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53400" y="9553575"/>
          <a:ext cx="5172075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337365</xdr:colOff>
      <xdr:row>45</xdr:row>
      <xdr:rowOff>104775</xdr:rowOff>
    </xdr:from>
    <xdr:to>
      <xdr:col>13</xdr:col>
      <xdr:colOff>200024</xdr:colOff>
      <xdr:row>65</xdr:row>
      <xdr:rowOff>85725</xdr:rowOff>
    </xdr:to>
    <xdr:pic>
      <xdr:nvPicPr>
        <xdr:cNvPr id="3" name="Picture 2" descr="fdc for spreadshee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81015" y="9172575"/>
          <a:ext cx="3767909" cy="3219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1</xdr:row>
      <xdr:rowOff>57150</xdr:rowOff>
    </xdr:from>
    <xdr:to>
      <xdr:col>14</xdr:col>
      <xdr:colOff>142875</xdr:colOff>
      <xdr:row>18</xdr:row>
      <xdr:rowOff>152400</xdr:rowOff>
    </xdr:to>
    <xdr:pic>
      <xdr:nvPicPr>
        <xdr:cNvPr id="60" name="Picture 59" descr="sphere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4525" y="219075"/>
          <a:ext cx="4848225" cy="50768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</xdr:row>
      <xdr:rowOff>47625</xdr:rowOff>
    </xdr:from>
    <xdr:to>
      <xdr:col>10</xdr:col>
      <xdr:colOff>295275</xdr:colOff>
      <xdr:row>19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8.bin"/><Relationship Id="rId5" Type="http://schemas.openxmlformats.org/officeDocument/2006/relationships/oleObject" Target="../embeddings/oleObject7.bin"/><Relationship Id="rId4" Type="http://schemas.openxmlformats.org/officeDocument/2006/relationships/oleObject" Target="../embeddings/oleObject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12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1.bin"/><Relationship Id="rId5" Type="http://schemas.openxmlformats.org/officeDocument/2006/relationships/oleObject" Target="../embeddings/oleObject10.bin"/><Relationship Id="rId4" Type="http://schemas.openxmlformats.org/officeDocument/2006/relationships/oleObject" Target="../embeddings/oleObject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8.bin"/><Relationship Id="rId3" Type="http://schemas.openxmlformats.org/officeDocument/2006/relationships/vmlDrawing" Target="../drawings/vmlDrawing5.vml"/><Relationship Id="rId7" Type="http://schemas.openxmlformats.org/officeDocument/2006/relationships/oleObject" Target="../embeddings/oleObject17.bin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6.bin"/><Relationship Id="rId5" Type="http://schemas.openxmlformats.org/officeDocument/2006/relationships/oleObject" Target="../embeddings/oleObject15.bin"/><Relationship Id="rId4" Type="http://schemas.openxmlformats.org/officeDocument/2006/relationships/oleObject" Target="../embeddings/oleObject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7" Type="http://schemas.openxmlformats.org/officeDocument/2006/relationships/oleObject" Target="../embeddings/oleObject23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2.bin"/><Relationship Id="rId5" Type="http://schemas.openxmlformats.org/officeDocument/2006/relationships/oleObject" Target="../embeddings/oleObject21.bin"/><Relationship Id="rId4" Type="http://schemas.openxmlformats.org/officeDocument/2006/relationships/oleObject" Target="../embeddings/oleObject2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27.bin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6.bin"/><Relationship Id="rId5" Type="http://schemas.openxmlformats.org/officeDocument/2006/relationships/oleObject" Target="../embeddings/oleObject25.bin"/><Relationship Id="rId4" Type="http://schemas.openxmlformats.org/officeDocument/2006/relationships/oleObject" Target="../embeddings/oleObject2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8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oleObject" Target="../embeddings/oleObject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L60"/>
  <sheetViews>
    <sheetView topLeftCell="A55" workbookViewId="0">
      <selection activeCell="I35" sqref="I35"/>
    </sheetView>
  </sheetViews>
  <sheetFormatPr defaultRowHeight="12.75"/>
  <cols>
    <col min="2" max="2" width="32.5703125" customWidth="1"/>
    <col min="3" max="3" width="12.42578125" bestFit="1" customWidth="1"/>
    <col min="11" max="11" width="15.42578125" customWidth="1"/>
    <col min="12" max="12" width="9.42578125" bestFit="1" customWidth="1"/>
  </cols>
  <sheetData>
    <row r="3" spans="12:12">
      <c r="L3" s="113" t="s">
        <v>419</v>
      </c>
    </row>
    <row r="27" spans="2:12">
      <c r="B27" t="s">
        <v>221</v>
      </c>
      <c r="C27">
        <v>15</v>
      </c>
      <c r="K27" s="113" t="s">
        <v>398</v>
      </c>
    </row>
    <row r="28" spans="2:12">
      <c r="B28" t="s">
        <v>222</v>
      </c>
      <c r="C28">
        <f>360/C27</f>
        <v>24</v>
      </c>
    </row>
    <row r="29" spans="2:12">
      <c r="B29" t="s">
        <v>219</v>
      </c>
      <c r="C29" t="s">
        <v>220</v>
      </c>
      <c r="K29" s="113" t="s">
        <v>399</v>
      </c>
      <c r="L29">
        <v>1054</v>
      </c>
    </row>
    <row r="30" spans="2:12" ht="25.5">
      <c r="B30" s="1" t="s">
        <v>218</v>
      </c>
      <c r="C30" s="177">
        <v>8</v>
      </c>
      <c r="D30" s="178" t="s">
        <v>420</v>
      </c>
      <c r="E30" s="177"/>
      <c r="F30" s="177"/>
      <c r="G30" s="177"/>
      <c r="H30" s="177"/>
      <c r="I30" s="177"/>
      <c r="J30" s="177"/>
      <c r="K30" s="113" t="s">
        <v>400</v>
      </c>
      <c r="L30">
        <v>1022</v>
      </c>
    </row>
    <row r="31" spans="2:12" ht="18.75">
      <c r="B31" t="s">
        <v>228</v>
      </c>
      <c r="C31">
        <f>(C30*39.37)/0.2248</f>
        <v>1401.0676156583629</v>
      </c>
      <c r="K31" s="113" t="s">
        <v>401</v>
      </c>
      <c r="L31">
        <v>1028</v>
      </c>
    </row>
    <row r="32" spans="2:12">
      <c r="B32" t="s">
        <v>239</v>
      </c>
      <c r="C32" s="108">
        <v>20</v>
      </c>
      <c r="K32" s="113" t="s">
        <v>402</v>
      </c>
      <c r="L32">
        <v>1032</v>
      </c>
    </row>
    <row r="33" spans="2:12">
      <c r="B33" t="s">
        <v>223</v>
      </c>
      <c r="C33">
        <v>7.0000000000000007E-2</v>
      </c>
      <c r="K33" s="113" t="s">
        <v>403</v>
      </c>
      <c r="L33">
        <v>5.6</v>
      </c>
    </row>
    <row r="34" spans="2:12" ht="39.75">
      <c r="B34" s="4" t="s">
        <v>240</v>
      </c>
      <c r="C34" s="4">
        <f>C33*(C32/100)</f>
        <v>1.4000000000000002E-2</v>
      </c>
      <c r="K34" s="118" t="s">
        <v>405</v>
      </c>
      <c r="L34" s="47">
        <f>((((L29^2-L30^2)-(L32^2-L31^2))*(C27/360)*(PI()/4))-((PI()/4)*L33^2))/1000000</f>
        <v>1.8796986604468688E-3</v>
      </c>
    </row>
    <row r="35" spans="2:12" ht="38.25">
      <c r="B35" t="s">
        <v>224</v>
      </c>
      <c r="C35">
        <v>1.0303800000000001</v>
      </c>
      <c r="D35" s="149" t="s">
        <v>421</v>
      </c>
      <c r="E35" s="152"/>
      <c r="F35" s="152"/>
      <c r="G35" s="152">
        <f>C33*25.4*(1-C32/100)*0.5</f>
        <v>0.71120000000000005</v>
      </c>
      <c r="K35" s="118" t="s">
        <v>404</v>
      </c>
      <c r="L35" s="3">
        <v>400000</v>
      </c>
    </row>
    <row r="36" spans="2:12" ht="39.75">
      <c r="B36" t="s">
        <v>225</v>
      </c>
      <c r="C36">
        <f>C35*PI()</f>
        <v>3.2370342384058515</v>
      </c>
      <c r="K36" s="118" t="s">
        <v>406</v>
      </c>
      <c r="L36" s="3">
        <f>C37/L35</f>
        <v>4.7242748356330944E-4</v>
      </c>
    </row>
    <row r="37" spans="2:12" ht="25.5">
      <c r="B37" t="s">
        <v>226</v>
      </c>
      <c r="C37">
        <f>(C36*C31)/24</f>
        <v>188.97099342532377</v>
      </c>
      <c r="D37">
        <f>C37*0.2248</f>
        <v>42.480679322012783</v>
      </c>
      <c r="E37" t="s">
        <v>227</v>
      </c>
      <c r="K37" s="118" t="s">
        <v>407</v>
      </c>
      <c r="L37" s="3">
        <f>L36/L34</f>
        <v>0.25133149983253017</v>
      </c>
    </row>
    <row r="38" spans="2:12" ht="39">
      <c r="B38" t="s">
        <v>230</v>
      </c>
      <c r="C38">
        <v>0.13639999999999999</v>
      </c>
      <c r="D38" t="s">
        <v>229</v>
      </c>
      <c r="K38" s="118" t="s">
        <v>408</v>
      </c>
      <c r="L38">
        <v>4</v>
      </c>
    </row>
    <row r="39" spans="2:12">
      <c r="B39" t="s">
        <v>203</v>
      </c>
      <c r="C39">
        <f>'mat properties'!D13</f>
        <v>16.5</v>
      </c>
    </row>
    <row r="40" spans="2:12">
      <c r="B40" t="s">
        <v>204</v>
      </c>
      <c r="C40">
        <f>'mat properties'!B13</f>
        <v>9.0300000000000005E-2</v>
      </c>
    </row>
    <row r="41" spans="2:12">
      <c r="B41" t="s">
        <v>206</v>
      </c>
      <c r="C41">
        <v>3.2000000000000001E-2</v>
      </c>
    </row>
    <row r="42" spans="2:12">
      <c r="B42" t="s">
        <v>207</v>
      </c>
      <c r="C42" s="47">
        <f>C41*(C40/C39)</f>
        <v>1.7512727272727275E-4</v>
      </c>
      <c r="D42" t="s">
        <v>205</v>
      </c>
    </row>
    <row r="43" spans="2:12">
      <c r="B43" t="s">
        <v>208</v>
      </c>
      <c r="C43" s="3">
        <v>8.0999999999999996E-4</v>
      </c>
    </row>
    <row r="44" spans="2:12">
      <c r="B44" t="s">
        <v>209</v>
      </c>
      <c r="C44" s="3">
        <v>4.0000000000000001E-3</v>
      </c>
    </row>
    <row r="45" spans="2:12" ht="27">
      <c r="B45" s="1" t="s">
        <v>212</v>
      </c>
      <c r="C45" s="3">
        <f>C41*C43</f>
        <v>2.5919999999999999E-5</v>
      </c>
    </row>
    <row r="46" spans="2:12" ht="27">
      <c r="B46" s="1" t="s">
        <v>211</v>
      </c>
      <c r="C46" s="3">
        <f>C41*C44</f>
        <v>1.2799999999999999E-4</v>
      </c>
    </row>
    <row r="47" spans="2:12" ht="27">
      <c r="B47" s="1" t="s">
        <v>210</v>
      </c>
      <c r="C47">
        <f>(C41*C43^3)/12</f>
        <v>1.4171759999999997E-12</v>
      </c>
    </row>
    <row r="48" spans="2:12" ht="25.5">
      <c r="B48" s="1" t="s">
        <v>213</v>
      </c>
      <c r="C48" s="47">
        <f>(C44+C43)/2</f>
        <v>2.405E-3</v>
      </c>
    </row>
    <row r="50" spans="2:10" ht="27">
      <c r="B50" s="1" t="s">
        <v>214</v>
      </c>
      <c r="C50" s="3">
        <f>C47+(C45*C48^2)</f>
        <v>1.5133910399999999E-10</v>
      </c>
    </row>
    <row r="51" spans="2:10" ht="27">
      <c r="B51" s="1" t="s">
        <v>215</v>
      </c>
      <c r="C51">
        <f>(C42*C44^3)/12</f>
        <v>9.3401212121212146E-13</v>
      </c>
    </row>
    <row r="52" spans="2:10" ht="14.25">
      <c r="B52" s="1" t="s">
        <v>216</v>
      </c>
      <c r="C52" s="3">
        <f>C51+2*C50</f>
        <v>3.0361222012121211E-10</v>
      </c>
    </row>
    <row r="53" spans="2:10" ht="14.25">
      <c r="B53" s="1" t="s">
        <v>217</v>
      </c>
      <c r="C53" s="3">
        <f>C52*C39*1000000000</f>
        <v>5.0096016319999999</v>
      </c>
    </row>
    <row r="54" spans="2:10" ht="26.25" thickBot="1">
      <c r="B54" s="10" t="s">
        <v>231</v>
      </c>
      <c r="C54" s="4">
        <f>((C31*C38^4)/(384*C53))*1000</f>
        <v>0.25210540687824129</v>
      </c>
      <c r="D54" s="277"/>
      <c r="E54" s="277"/>
      <c r="F54" s="277"/>
      <c r="G54" t="s">
        <v>233</v>
      </c>
    </row>
    <row r="55" spans="2:10" ht="31.5" customHeight="1" thickTop="1" thickBot="1">
      <c r="B55" s="109" t="s">
        <v>232</v>
      </c>
      <c r="C55" s="110">
        <f>C54/25.4</f>
        <v>9.9254097196157989E-3</v>
      </c>
      <c r="D55" s="111" t="s">
        <v>241</v>
      </c>
      <c r="E55" s="111"/>
      <c r="F55" s="111"/>
      <c r="G55" s="111"/>
      <c r="H55" s="111"/>
      <c r="I55" s="111"/>
      <c r="J55" s="112"/>
    </row>
    <row r="56" spans="2:10" ht="18.75" thickTop="1">
      <c r="B56" s="1" t="s">
        <v>235</v>
      </c>
      <c r="C56">
        <f>(C31*C38^2)/12</f>
        <v>2.1722339122182674</v>
      </c>
    </row>
    <row r="57" spans="2:10" ht="18">
      <c r="B57" s="1" t="s">
        <v>234</v>
      </c>
      <c r="C57" s="3">
        <f>(C44/2)+C43</f>
        <v>2.81E-3</v>
      </c>
    </row>
    <row r="58" spans="2:10" ht="36" customHeight="1">
      <c r="B58" s="1" t="s">
        <v>236</v>
      </c>
      <c r="C58" s="63">
        <f>(C56*C57)/(C52*1000000)</f>
        <v>20.104517831648611</v>
      </c>
      <c r="G58" s="63">
        <f>(C58/6890)*1000000</f>
        <v>2917.927116349581</v>
      </c>
      <c r="H58" t="s">
        <v>170</v>
      </c>
    </row>
    <row r="59" spans="2:10" ht="25.5">
      <c r="B59" s="1" t="s">
        <v>237</v>
      </c>
      <c r="C59">
        <f>(C31*C38)/2</f>
        <v>95.552811387900348</v>
      </c>
    </row>
    <row r="60" spans="2:10" ht="25.5">
      <c r="B60" s="1" t="s">
        <v>238</v>
      </c>
      <c r="C60" s="63">
        <f>((C59*C45*(C44/2))/(C52*C41))*0.000001</f>
        <v>0.50984625844967313</v>
      </c>
    </row>
  </sheetData>
  <mergeCells count="1">
    <mergeCell ref="D54:F54"/>
  </mergeCells>
  <phoneticPr fontId="2" type="noConversion"/>
  <pageMargins left="0.75" right="0.75" top="1" bottom="1" header="0.5" footer="0.5"/>
  <pageSetup orientation="portrait" r:id="rId1"/>
  <headerFooter alignWithMargins="0"/>
  <drawing r:id="rId2"/>
  <legacyDrawing r:id="rId3"/>
  <oleObjects>
    <oleObject progId="Equation.3" shapeId="4098" r:id="rId4"/>
    <oleObject progId="Equation.3" shapeId="4099" r:id="rId5"/>
    <oleObject progId="Equation.3" shapeId="4100" r:id="rId6"/>
  </oleObject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110"/>
  <sheetViews>
    <sheetView zoomScaleNormal="100" workbookViewId="0">
      <selection activeCell="A23" sqref="A23"/>
    </sheetView>
  </sheetViews>
  <sheetFormatPr defaultRowHeight="12.75"/>
  <cols>
    <col min="1" max="1" width="33.140625" customWidth="1"/>
    <col min="2" max="2" width="16" customWidth="1"/>
    <col min="3" max="3" width="17.42578125" customWidth="1"/>
    <col min="4" max="4" width="15.140625" customWidth="1"/>
    <col min="5" max="5" width="17.7109375" customWidth="1"/>
    <col min="6" max="6" width="11.85546875" customWidth="1"/>
    <col min="7" max="7" width="16.7109375" customWidth="1"/>
    <col min="8" max="8" width="20" customWidth="1"/>
    <col min="9" max="9" width="13.5703125" customWidth="1"/>
    <col min="10" max="10" width="12.140625" customWidth="1"/>
    <col min="11" max="11" width="20.85546875" customWidth="1"/>
    <col min="12" max="12" width="9.7109375" customWidth="1"/>
    <col min="13" max="13" width="14" customWidth="1"/>
    <col min="15" max="15" width="12" bestFit="1" customWidth="1"/>
    <col min="22" max="22" width="16.140625" customWidth="1"/>
    <col min="23" max="23" width="9.5703125" bestFit="1" customWidth="1"/>
  </cols>
  <sheetData>
    <row r="2" spans="1:11">
      <c r="A2" t="s">
        <v>69</v>
      </c>
      <c r="B2">
        <v>2.0699999999999998</v>
      </c>
    </row>
    <row r="3" spans="1:11">
      <c r="A3" t="s">
        <v>39</v>
      </c>
      <c r="B3">
        <v>4</v>
      </c>
    </row>
    <row r="4" spans="1:11">
      <c r="A4" t="s">
        <v>40</v>
      </c>
      <c r="B4">
        <v>9</v>
      </c>
    </row>
    <row r="5" spans="1:11">
      <c r="A5" t="s">
        <v>102</v>
      </c>
      <c r="B5">
        <f>2*B4+B3</f>
        <v>22</v>
      </c>
    </row>
    <row r="6" spans="1:11">
      <c r="A6" t="s">
        <v>103</v>
      </c>
      <c r="B6">
        <f>B5*B2</f>
        <v>45.54</v>
      </c>
    </row>
    <row r="7" spans="1:11">
      <c r="A7" t="s">
        <v>573</v>
      </c>
      <c r="B7">
        <v>6</v>
      </c>
    </row>
    <row r="8" spans="1:11" ht="20.25">
      <c r="A8" t="s">
        <v>574</v>
      </c>
      <c r="B8">
        <f>B7*B6</f>
        <v>273.24</v>
      </c>
    </row>
    <row r="9" spans="1:11">
      <c r="A9" t="s">
        <v>575</v>
      </c>
      <c r="B9">
        <v>4</v>
      </c>
    </row>
    <row r="10" spans="1:11">
      <c r="A10" t="s">
        <v>43</v>
      </c>
      <c r="B10">
        <f>B9*B8</f>
        <v>1092.96</v>
      </c>
    </row>
    <row r="11" spans="1:11" ht="28.5">
      <c r="A11" s="155" t="s">
        <v>75</v>
      </c>
      <c r="B11">
        <v>40</v>
      </c>
    </row>
    <row r="12" spans="1:11">
      <c r="A12" t="s">
        <v>116</v>
      </c>
      <c r="B12">
        <v>3.67</v>
      </c>
    </row>
    <row r="13" spans="1:11" ht="42" customHeight="1">
      <c r="A13" s="155"/>
      <c r="F13" s="156" t="s">
        <v>73</v>
      </c>
      <c r="G13" s="277"/>
      <c r="H13" s="277"/>
      <c r="I13" s="277"/>
      <c r="J13" s="277"/>
      <c r="K13" s="277"/>
    </row>
    <row r="14" spans="1:11" ht="25.5" customHeight="1">
      <c r="A14" s="279"/>
      <c r="B14" s="279"/>
      <c r="F14" s="280" t="s">
        <v>72</v>
      </c>
      <c r="G14" s="280"/>
      <c r="H14" s="277"/>
      <c r="I14" s="277"/>
      <c r="J14" s="277"/>
      <c r="K14" s="277"/>
    </row>
    <row r="15" spans="1:11" ht="14.25">
      <c r="A15" t="s">
        <v>47</v>
      </c>
      <c r="B15">
        <v>3.96</v>
      </c>
      <c r="F15" s="280"/>
      <c r="G15" s="280"/>
      <c r="H15" s="277"/>
      <c r="I15" s="277"/>
      <c r="J15" s="277"/>
      <c r="K15" s="277"/>
    </row>
    <row r="16" spans="1:11">
      <c r="A16" t="s">
        <v>50</v>
      </c>
      <c r="B16" s="3">
        <v>9400</v>
      </c>
      <c r="F16" s="280"/>
      <c r="G16" s="280"/>
      <c r="H16" s="277"/>
      <c r="I16" s="277"/>
      <c r="J16" s="277"/>
      <c r="K16" s="277"/>
    </row>
    <row r="17" spans="1:13" ht="38.25">
      <c r="A17" s="155" t="s">
        <v>54</v>
      </c>
      <c r="B17">
        <f>((LN(B16)*1.58)-3.28)^-2</f>
        <v>8.0082569225882749E-3</v>
      </c>
      <c r="D17" s="36" t="s">
        <v>77</v>
      </c>
    </row>
    <row r="18" spans="1:13" ht="25.5" customHeight="1" thickBot="1">
      <c r="C18" s="281" t="s">
        <v>104</v>
      </c>
      <c r="D18" s="281"/>
      <c r="E18" s="281"/>
      <c r="F18" s="281"/>
      <c r="G18" s="281"/>
      <c r="H18" s="282"/>
    </row>
    <row r="19" spans="1:13" ht="58.5" thickTop="1">
      <c r="A19" s="27" t="s">
        <v>46</v>
      </c>
      <c r="B19" s="28" t="s">
        <v>48</v>
      </c>
      <c r="C19" s="29" t="s">
        <v>66</v>
      </c>
      <c r="D19" s="29" t="s">
        <v>101</v>
      </c>
      <c r="E19" s="29" t="s">
        <v>49</v>
      </c>
      <c r="F19" s="29" t="s">
        <v>51</v>
      </c>
      <c r="G19" s="29" t="s">
        <v>52</v>
      </c>
      <c r="H19" s="29" t="s">
        <v>67</v>
      </c>
      <c r="I19" s="29" t="s">
        <v>55</v>
      </c>
      <c r="J19" s="29" t="s">
        <v>63</v>
      </c>
      <c r="K19" s="13" t="s">
        <v>62</v>
      </c>
      <c r="L19" s="14" t="s">
        <v>64</v>
      </c>
    </row>
    <row r="20" spans="1:13">
      <c r="A20" s="15" t="s">
        <v>37</v>
      </c>
      <c r="B20" s="16">
        <f>'mat properties'!P22</f>
        <v>4.1813000000000002</v>
      </c>
      <c r="C20" s="16">
        <f>'mat properties'!P5</f>
        <v>1</v>
      </c>
      <c r="D20" s="16">
        <f>$B$6/(B20*$B$15)</f>
        <v>2.7503408030995145</v>
      </c>
      <c r="E20" s="16">
        <f>D20/C20</f>
        <v>2.7503408030995145</v>
      </c>
      <c r="F20" s="17">
        <f>'mat properties'!P24</f>
        <v>1.0020000000000001E-3</v>
      </c>
      <c r="G20" s="17">
        <f>(4*D20)/(PI()*F20*$B$16)</f>
        <v>0.37179286873115125</v>
      </c>
      <c r="H20" s="16">
        <f>'mat properties'!P21</f>
        <v>0.59699999999999998</v>
      </c>
      <c r="I20" s="16">
        <f>'mat properties'!P26</f>
        <v>7.02</v>
      </c>
      <c r="J20" s="18">
        <f>(4*E20)/(PI()*(G20^2))</f>
        <v>25.333460623234465</v>
      </c>
      <c r="K20" s="19">
        <f>C20*(J20^2)*($B$17/2)*(4/G20)*1000000</f>
        <v>27647507.050976891</v>
      </c>
      <c r="L20" s="20">
        <f>(K20*0.000145038)/3.28</f>
        <v>1222.5424169693863</v>
      </c>
    </row>
    <row r="21" spans="1:13">
      <c r="A21" s="15" t="s">
        <v>38</v>
      </c>
      <c r="B21" s="16">
        <f>'mat properties'!R22</f>
        <v>2.44</v>
      </c>
      <c r="C21" s="16">
        <f>'mat properties'!R5</f>
        <v>0.78900000000000003</v>
      </c>
      <c r="D21" s="16">
        <f>$B$6/(B21*$B$15)</f>
        <v>4.7131147540983607</v>
      </c>
      <c r="E21" s="16">
        <f>D21/C21</f>
        <v>5.9735294728749819</v>
      </c>
      <c r="F21" s="17">
        <f>'mat properties'!R24</f>
        <v>1.0740000000000001E-3</v>
      </c>
      <c r="G21" s="17">
        <f>(4*D21)/(PI()*F21*$B$16)</f>
        <v>0.59440985021125792</v>
      </c>
      <c r="H21" s="16">
        <f>'mat properties'!R21</f>
        <v>0.16900000000000001</v>
      </c>
      <c r="I21" s="16">
        <f>'mat properties'!R26</f>
        <v>15.506272189349113</v>
      </c>
      <c r="J21" s="18">
        <f>(4*E21)/(PI()*(G21^2))</f>
        <v>21.526287388760156</v>
      </c>
      <c r="K21" s="19">
        <f>C21*(J21^2)*($B$17/2)*(4/G21)*1000000</f>
        <v>9851384.436752161</v>
      </c>
      <c r="L21" s="20">
        <f>(K21*0.000145038)/3.28</f>
        <v>435.61740729806706</v>
      </c>
    </row>
    <row r="22" spans="1:13" ht="13.5" thickBot="1">
      <c r="A22" s="21" t="s">
        <v>273</v>
      </c>
      <c r="B22" s="22">
        <f>'mat properties'!Q22</f>
        <v>1.1000000000000001</v>
      </c>
      <c r="C22" s="22">
        <f>'mat properties'!Q5</f>
        <v>1.73</v>
      </c>
      <c r="D22" s="16">
        <f>$B$6/(B22*$B$15)</f>
        <v>10.454545454545455</v>
      </c>
      <c r="E22" s="22">
        <f>D22/C22</f>
        <v>6.0430898581187602</v>
      </c>
      <c r="F22" s="23">
        <f>'mat properties'!Q24</f>
        <v>9.5149999999999998E-4</v>
      </c>
      <c r="G22" s="23">
        <f>(4*D22)/(PI()*F22*$B$16)</f>
        <v>1.4882593771266557</v>
      </c>
      <c r="H22" s="22">
        <f>'mat properties'!Q21</f>
        <v>0.06</v>
      </c>
      <c r="I22" s="22">
        <f>'mat properties'!Q26</f>
        <v>17.444166666666668</v>
      </c>
      <c r="J22" s="24">
        <f>(4*E22)/(PI()*(G22^2))</f>
        <v>3.4738568286272695</v>
      </c>
      <c r="K22" s="25">
        <f>C22*(J22^2)*($B$17/2)*(4/G22)*1000000</f>
        <v>224677.35368255337</v>
      </c>
      <c r="L22" s="26">
        <f>(K22*0.000145038)/3.28</f>
        <v>9.9349859827470048</v>
      </c>
      <c r="M22" t="s">
        <v>105</v>
      </c>
    </row>
    <row r="23" spans="1:13" ht="13.5" thickTop="1">
      <c r="A23" s="46" t="s">
        <v>705</v>
      </c>
    </row>
    <row r="26" spans="1:13" ht="27" customHeight="1">
      <c r="A26" s="113" t="s">
        <v>374</v>
      </c>
      <c r="B26">
        <v>2.79</v>
      </c>
    </row>
    <row r="27" spans="1:13" ht="17.25" customHeight="1">
      <c r="A27" s="119" t="s">
        <v>387</v>
      </c>
      <c r="B27">
        <f>(PI()*B26*B11)/2000000</f>
        <v>1.7530087007031046E-4</v>
      </c>
      <c r="C27" t="s">
        <v>576</v>
      </c>
    </row>
    <row r="28" spans="1:13" ht="12.75" customHeight="1">
      <c r="A28" s="159" t="s">
        <v>377</v>
      </c>
      <c r="B28" s="160">
        <f>'mat properties'!P26</f>
        <v>7.02</v>
      </c>
      <c r="C28" s="165" t="s">
        <v>378</v>
      </c>
      <c r="D28" s="161" t="s">
        <v>379</v>
      </c>
      <c r="E28" s="113" t="s">
        <v>385</v>
      </c>
    </row>
    <row r="29" spans="1:13" ht="15" thickBot="1">
      <c r="A29" s="119" t="s">
        <v>383</v>
      </c>
      <c r="B29">
        <f>'mat properties'!P21</f>
        <v>0.59699999999999998</v>
      </c>
    </row>
    <row r="30" spans="1:13" ht="18.75" thickTop="1">
      <c r="A30" s="29" t="s">
        <v>51</v>
      </c>
      <c r="B30" s="3">
        <v>1E-3</v>
      </c>
    </row>
    <row r="31" spans="1:13" ht="15" thickBot="1">
      <c r="A31" s="119" t="s">
        <v>389</v>
      </c>
      <c r="B31">
        <f>'mat properties'!P22</f>
        <v>4.1813000000000002</v>
      </c>
    </row>
    <row r="32" spans="1:13" ht="19.5" thickTop="1">
      <c r="A32" s="29" t="s">
        <v>66</v>
      </c>
      <c r="B32">
        <f>'mat properties'!P5</f>
        <v>1</v>
      </c>
    </row>
    <row r="33" spans="1:19" ht="13.5" thickBot="1">
      <c r="A33" t="s">
        <v>116</v>
      </c>
      <c r="B33">
        <v>3.67</v>
      </c>
    </row>
    <row r="34" spans="1:19" ht="66" thickTop="1">
      <c r="A34" s="113" t="s">
        <v>373</v>
      </c>
      <c r="B34" s="118" t="s">
        <v>375</v>
      </c>
      <c r="C34" s="118" t="s">
        <v>376</v>
      </c>
      <c r="D34" s="118" t="s">
        <v>380</v>
      </c>
      <c r="E34" s="118" t="s">
        <v>381</v>
      </c>
      <c r="F34" s="118" t="s">
        <v>386</v>
      </c>
      <c r="G34" s="118" t="s">
        <v>397</v>
      </c>
      <c r="H34" s="118" t="s">
        <v>382</v>
      </c>
      <c r="I34" s="118" t="s">
        <v>384</v>
      </c>
      <c r="L34" s="118" t="s">
        <v>388</v>
      </c>
      <c r="M34" s="118" t="s">
        <v>390</v>
      </c>
      <c r="N34" s="118" t="s">
        <v>391</v>
      </c>
      <c r="O34" s="168" t="s">
        <v>63</v>
      </c>
      <c r="P34" s="13" t="s">
        <v>62</v>
      </c>
      <c r="Q34" s="169" t="s">
        <v>393</v>
      </c>
      <c r="R34" s="169" t="s">
        <v>115</v>
      </c>
    </row>
    <row r="35" spans="1:19">
      <c r="A35" s="140">
        <v>50</v>
      </c>
      <c r="B35" s="140">
        <f t="shared" ref="B35:B63" si="0">0.04*A35*$B$26</f>
        <v>5.58</v>
      </c>
      <c r="C35" s="162">
        <f t="shared" ref="C35:C63" si="1">B35*$B$28</f>
        <v>39.171599999999998</v>
      </c>
      <c r="D35" s="140">
        <f t="shared" ref="D35:D43" si="2">16/A35</f>
        <v>0.32</v>
      </c>
      <c r="E35" s="140">
        <v>3.3</v>
      </c>
      <c r="F35" s="170">
        <f t="shared" ref="F35:F63" si="3">(A35*$B$30*PI()*$B$26)/4</f>
        <v>0.10956304379394403</v>
      </c>
      <c r="G35">
        <f t="shared" ref="G35:G63" si="4">(F35/$B$32)*(0.2642*60/1000)</f>
        <v>1.7367933702216009E-3</v>
      </c>
      <c r="H35" s="162">
        <f t="shared" ref="H35:H63" si="5">((A35*$B$28*$B$26)^0.3333333)*0.53</f>
        <v>5.26315560148032</v>
      </c>
      <c r="I35" s="162">
        <f t="shared" ref="I35:I63" si="6">(H35*$B$29*1000)/$B$26</f>
        <v>1126.2021125748213</v>
      </c>
      <c r="L35" s="63">
        <f t="shared" ref="L35:L63" si="7">($B$2*$B$5)/(F35*$B$31)</f>
        <v>99.407146818205533</v>
      </c>
      <c r="M35" s="63">
        <f t="shared" ref="M35:M43" si="8">L35/$B$5</f>
        <v>4.5185066735547972</v>
      </c>
      <c r="N35" s="63">
        <f t="shared" ref="N35:N63" si="9">$B$2/(I35*$B$27)</f>
        <v>10.485036246590832</v>
      </c>
      <c r="O35">
        <f t="shared" ref="O35:O63" si="10">(4*F35)/($B$32*PI()*($B$26^2))</f>
        <v>1.7921146953405017E-2</v>
      </c>
      <c r="P35">
        <f t="shared" ref="P35:P63" si="11">(2000000*$B$32*(O35^2)*D35)/$B$26</f>
        <v>73.672833405141319</v>
      </c>
      <c r="Q35">
        <f t="shared" ref="Q35:Q63" si="12">P35*$B$33</f>
        <v>270.37929859686864</v>
      </c>
      <c r="R35">
        <f t="shared" ref="R35:R43" si="13">Q35*0.000145</f>
        <v>3.9204998296545952E-2</v>
      </c>
    </row>
    <row r="36" spans="1:19">
      <c r="A36" s="140">
        <v>100</v>
      </c>
      <c r="B36" s="140">
        <f t="shared" si="0"/>
        <v>11.16</v>
      </c>
      <c r="C36" s="162">
        <f t="shared" si="1"/>
        <v>78.343199999999996</v>
      </c>
      <c r="D36" s="140">
        <f t="shared" si="2"/>
        <v>0.16</v>
      </c>
      <c r="E36" s="140">
        <v>3.3</v>
      </c>
      <c r="F36" s="170">
        <f t="shared" si="3"/>
        <v>0.21912608758788807</v>
      </c>
      <c r="G36">
        <f t="shared" si="4"/>
        <v>3.4735867404432018E-3</v>
      </c>
      <c r="H36" s="162">
        <f t="shared" si="5"/>
        <v>6.631160377964826</v>
      </c>
      <c r="I36" s="162">
        <f t="shared" si="6"/>
        <v>1418.9257152849466</v>
      </c>
      <c r="L36" s="63">
        <f t="shared" si="7"/>
        <v>49.703573409102766</v>
      </c>
      <c r="M36" s="63">
        <f t="shared" si="8"/>
        <v>2.2592533367773986</v>
      </c>
      <c r="N36" s="63">
        <f t="shared" si="9"/>
        <v>8.3219789761600378</v>
      </c>
      <c r="O36">
        <f t="shared" si="10"/>
        <v>3.5842293906810034E-2</v>
      </c>
      <c r="P36">
        <f t="shared" si="11"/>
        <v>147.34566681028264</v>
      </c>
      <c r="Q36">
        <f t="shared" si="12"/>
        <v>540.75859719373727</v>
      </c>
      <c r="R36">
        <f t="shared" si="13"/>
        <v>7.8409996593091905E-2</v>
      </c>
    </row>
    <row r="37" spans="1:19">
      <c r="A37" s="140">
        <v>150</v>
      </c>
      <c r="B37" s="140">
        <f t="shared" si="0"/>
        <v>16.740000000000002</v>
      </c>
      <c r="C37" s="162">
        <f t="shared" si="1"/>
        <v>117.51480000000001</v>
      </c>
      <c r="D37" s="140">
        <f t="shared" si="2"/>
        <v>0.10666666666666667</v>
      </c>
      <c r="E37" s="140">
        <v>3.3</v>
      </c>
      <c r="F37" s="170">
        <f t="shared" si="3"/>
        <v>0.32868913138183209</v>
      </c>
      <c r="G37">
        <f t="shared" si="4"/>
        <v>5.2103801106648025E-3</v>
      </c>
      <c r="H37" s="162">
        <f t="shared" si="5"/>
        <v>7.5907836267184079</v>
      </c>
      <c r="I37" s="162">
        <f t="shared" si="6"/>
        <v>1624.2644534591</v>
      </c>
      <c r="L37" s="63">
        <f t="shared" si="7"/>
        <v>33.135715606068509</v>
      </c>
      <c r="M37" s="63">
        <f t="shared" si="8"/>
        <v>1.5061688911849322</v>
      </c>
      <c r="N37" s="63">
        <f t="shared" si="9"/>
        <v>7.2699183597762023</v>
      </c>
      <c r="O37">
        <f t="shared" si="10"/>
        <v>5.3763440860215048E-2</v>
      </c>
      <c r="P37">
        <f t="shared" si="11"/>
        <v>221.01850021542396</v>
      </c>
      <c r="Q37">
        <f t="shared" si="12"/>
        <v>811.13789579060585</v>
      </c>
      <c r="R37">
        <f t="shared" si="13"/>
        <v>0.11761499488963785</v>
      </c>
    </row>
    <row r="38" spans="1:19" ht="11.25" customHeight="1">
      <c r="A38" s="140">
        <v>200</v>
      </c>
      <c r="B38" s="140">
        <f t="shared" si="0"/>
        <v>22.32</v>
      </c>
      <c r="C38" s="162">
        <f t="shared" si="1"/>
        <v>156.68639999999999</v>
      </c>
      <c r="D38" s="140">
        <f t="shared" si="2"/>
        <v>0.08</v>
      </c>
      <c r="E38" s="140">
        <v>3.3</v>
      </c>
      <c r="F38" s="170">
        <f t="shared" si="3"/>
        <v>0.43825217517577614</v>
      </c>
      <c r="G38">
        <f t="shared" si="4"/>
        <v>6.9471734808864037E-3</v>
      </c>
      <c r="H38" s="162">
        <f t="shared" si="5"/>
        <v>8.3547383523912799</v>
      </c>
      <c r="I38" s="162">
        <f t="shared" si="6"/>
        <v>1787.7343356192091</v>
      </c>
      <c r="L38" s="63">
        <f t="shared" si="7"/>
        <v>24.851786704551383</v>
      </c>
      <c r="M38" s="63">
        <f t="shared" si="8"/>
        <v>1.1296266683886993</v>
      </c>
      <c r="N38" s="63">
        <f t="shared" si="9"/>
        <v>6.6051592432184254</v>
      </c>
      <c r="O38">
        <f t="shared" si="10"/>
        <v>7.1684587813620068E-2</v>
      </c>
      <c r="P38">
        <f t="shared" si="11"/>
        <v>294.69133362056527</v>
      </c>
      <c r="Q38">
        <f t="shared" si="12"/>
        <v>1081.5171943874745</v>
      </c>
      <c r="R38">
        <f t="shared" si="13"/>
        <v>0.15681999318618381</v>
      </c>
    </row>
    <row r="39" spans="1:19">
      <c r="A39" s="140">
        <v>250</v>
      </c>
      <c r="B39" s="140">
        <f t="shared" si="0"/>
        <v>27.9</v>
      </c>
      <c r="C39" s="162">
        <f t="shared" si="1"/>
        <v>195.85799999999998</v>
      </c>
      <c r="D39" s="140">
        <f t="shared" si="2"/>
        <v>6.4000000000000001E-2</v>
      </c>
      <c r="E39" s="140">
        <v>3.3</v>
      </c>
      <c r="F39" s="170">
        <f t="shared" si="3"/>
        <v>0.54781521896972019</v>
      </c>
      <c r="G39">
        <f t="shared" si="4"/>
        <v>8.6839668511080048E-3</v>
      </c>
      <c r="H39" s="162">
        <f t="shared" si="5"/>
        <v>8.9998689993237075</v>
      </c>
      <c r="I39" s="162">
        <f t="shared" si="6"/>
        <v>1925.7784202853952</v>
      </c>
      <c r="L39" s="63">
        <f t="shared" si="7"/>
        <v>19.881429363641104</v>
      </c>
      <c r="M39" s="63">
        <f t="shared" si="8"/>
        <v>0.90370133471095926</v>
      </c>
      <c r="N39" s="63">
        <f t="shared" si="9"/>
        <v>6.1316867231195866</v>
      </c>
      <c r="O39">
        <f t="shared" si="10"/>
        <v>8.9605734767025089E-2</v>
      </c>
      <c r="P39">
        <f t="shared" si="11"/>
        <v>368.36416702570659</v>
      </c>
      <c r="Q39">
        <f t="shared" si="12"/>
        <v>1351.8964929843432</v>
      </c>
      <c r="R39">
        <f t="shared" si="13"/>
        <v>0.19602499148272978</v>
      </c>
    </row>
    <row r="40" spans="1:19">
      <c r="A40" s="140">
        <v>300</v>
      </c>
      <c r="B40" s="140">
        <f t="shared" si="0"/>
        <v>33.480000000000004</v>
      </c>
      <c r="C40" s="162">
        <f t="shared" si="1"/>
        <v>235.02960000000002</v>
      </c>
      <c r="D40" s="140">
        <f t="shared" si="2"/>
        <v>5.3333333333333337E-2</v>
      </c>
      <c r="E40" s="140">
        <v>3.3</v>
      </c>
      <c r="F40" s="170">
        <f t="shared" si="3"/>
        <v>0.65737826276366418</v>
      </c>
      <c r="G40">
        <f t="shared" si="4"/>
        <v>1.0420760221329605E-2</v>
      </c>
      <c r="H40" s="162">
        <f t="shared" si="5"/>
        <v>9.5637878555294513</v>
      </c>
      <c r="I40" s="162">
        <f t="shared" si="6"/>
        <v>2046.4449282261944</v>
      </c>
      <c r="L40" s="63">
        <f t="shared" si="7"/>
        <v>16.567857803034254</v>
      </c>
      <c r="M40" s="63">
        <f t="shared" si="8"/>
        <v>0.75308444559246612</v>
      </c>
      <c r="N40" s="63">
        <f t="shared" si="9"/>
        <v>5.7701381593343299</v>
      </c>
      <c r="O40">
        <f t="shared" si="10"/>
        <v>0.1075268817204301</v>
      </c>
      <c r="P40">
        <f t="shared" si="11"/>
        <v>442.03700043084791</v>
      </c>
      <c r="Q40">
        <f t="shared" si="12"/>
        <v>1622.2757915812117</v>
      </c>
      <c r="R40">
        <f t="shared" si="13"/>
        <v>0.2352299897792757</v>
      </c>
    </row>
    <row r="41" spans="1:19">
      <c r="A41" s="140">
        <v>350</v>
      </c>
      <c r="B41" s="140">
        <f t="shared" si="0"/>
        <v>39.06</v>
      </c>
      <c r="C41" s="162">
        <f t="shared" si="1"/>
        <v>274.20119999999997</v>
      </c>
      <c r="D41" s="140">
        <f t="shared" si="2"/>
        <v>4.5714285714285714E-2</v>
      </c>
      <c r="E41" s="140">
        <v>3.3</v>
      </c>
      <c r="F41" s="170">
        <f t="shared" si="3"/>
        <v>0.76694130655760828</v>
      </c>
      <c r="G41">
        <f t="shared" si="4"/>
        <v>1.2157553591551207E-2</v>
      </c>
      <c r="H41" s="162">
        <f t="shared" si="5"/>
        <v>10.068053816803912</v>
      </c>
      <c r="I41" s="162">
        <f t="shared" si="6"/>
        <v>2154.3469995096543</v>
      </c>
      <c r="L41" s="63">
        <f t="shared" si="7"/>
        <v>14.20102097402936</v>
      </c>
      <c r="M41" s="63">
        <f t="shared" si="8"/>
        <v>0.64550095336497093</v>
      </c>
      <c r="N41" s="63">
        <f t="shared" si="9"/>
        <v>5.4811364993762943</v>
      </c>
      <c r="O41">
        <f t="shared" si="10"/>
        <v>0.12544802867383512</v>
      </c>
      <c r="P41">
        <f t="shared" si="11"/>
        <v>515.70983383598923</v>
      </c>
      <c r="Q41">
        <f t="shared" si="12"/>
        <v>1892.6550901780804</v>
      </c>
      <c r="R41">
        <f t="shared" si="13"/>
        <v>0.27443498807582167</v>
      </c>
    </row>
    <row r="42" spans="1:19">
      <c r="A42" s="140">
        <v>400</v>
      </c>
      <c r="B42" s="140">
        <f t="shared" si="0"/>
        <v>44.64</v>
      </c>
      <c r="C42" s="162">
        <f t="shared" si="1"/>
        <v>313.37279999999998</v>
      </c>
      <c r="D42" s="140">
        <f t="shared" si="2"/>
        <v>0.04</v>
      </c>
      <c r="E42" s="140">
        <v>3.3</v>
      </c>
      <c r="F42" s="170">
        <f t="shared" si="3"/>
        <v>0.87650435035155227</v>
      </c>
      <c r="G42">
        <f t="shared" si="4"/>
        <v>1.3894346961772807E-2</v>
      </c>
      <c r="H42" s="162">
        <f t="shared" si="5"/>
        <v>10.526310473332368</v>
      </c>
      <c r="I42" s="162">
        <f t="shared" si="6"/>
        <v>2252.4040690248826</v>
      </c>
      <c r="L42" s="63">
        <f t="shared" si="7"/>
        <v>12.425893352275692</v>
      </c>
      <c r="M42" s="63">
        <f t="shared" si="8"/>
        <v>0.56481333419434965</v>
      </c>
      <c r="N42" s="63">
        <f t="shared" si="9"/>
        <v>5.2425184866790975</v>
      </c>
      <c r="O42">
        <f t="shared" si="10"/>
        <v>0.14336917562724014</v>
      </c>
      <c r="P42">
        <f t="shared" si="11"/>
        <v>589.38266724113055</v>
      </c>
      <c r="Q42">
        <f t="shared" si="12"/>
        <v>2163.0343887749491</v>
      </c>
      <c r="R42">
        <f t="shared" si="13"/>
        <v>0.31363998637236762</v>
      </c>
    </row>
    <row r="43" spans="1:19">
      <c r="A43" s="140">
        <v>450</v>
      </c>
      <c r="B43" s="140">
        <f t="shared" si="0"/>
        <v>50.22</v>
      </c>
      <c r="C43" s="162">
        <f t="shared" si="1"/>
        <v>352.5444</v>
      </c>
      <c r="D43" s="140">
        <f t="shared" si="2"/>
        <v>3.5555555555555556E-2</v>
      </c>
      <c r="E43" s="140">
        <v>3.3</v>
      </c>
      <c r="F43" s="170">
        <f t="shared" si="3"/>
        <v>0.98606739414549638</v>
      </c>
      <c r="G43">
        <f t="shared" si="4"/>
        <v>1.5631140331994409E-2</v>
      </c>
      <c r="H43" s="162">
        <f t="shared" si="5"/>
        <v>10.94780402301806</v>
      </c>
      <c r="I43" s="162">
        <f t="shared" si="6"/>
        <v>2342.5946242802083</v>
      </c>
      <c r="L43" s="63">
        <f t="shared" si="7"/>
        <v>11.045238535356168</v>
      </c>
      <c r="M43" s="63">
        <f t="shared" si="8"/>
        <v>0.50205629706164401</v>
      </c>
      <c r="N43" s="63">
        <f t="shared" si="9"/>
        <v>5.0406800429512675</v>
      </c>
      <c r="O43">
        <f t="shared" si="10"/>
        <v>0.16129032258064516</v>
      </c>
      <c r="P43">
        <f t="shared" si="11"/>
        <v>663.05550064627198</v>
      </c>
      <c r="Q43">
        <f t="shared" si="12"/>
        <v>2433.413687371818</v>
      </c>
      <c r="R43">
        <f t="shared" si="13"/>
        <v>0.35284498466891362</v>
      </c>
    </row>
    <row r="44" spans="1:19">
      <c r="A44" s="140">
        <v>500</v>
      </c>
      <c r="B44" s="140">
        <f t="shared" si="0"/>
        <v>55.8</v>
      </c>
      <c r="C44" s="162">
        <f t="shared" si="1"/>
        <v>391.71599999999995</v>
      </c>
      <c r="D44" s="140">
        <f>16/A44</f>
        <v>3.2000000000000001E-2</v>
      </c>
      <c r="E44" s="140">
        <v>3.3</v>
      </c>
      <c r="F44" s="170">
        <f t="shared" si="3"/>
        <v>1.0956304379394404</v>
      </c>
      <c r="G44">
        <f t="shared" si="4"/>
        <v>1.736793370221601E-2</v>
      </c>
      <c r="H44" s="162">
        <f t="shared" si="5"/>
        <v>11.339124136554849</v>
      </c>
      <c r="I44" s="162">
        <f t="shared" si="6"/>
        <v>2426.3287130907688</v>
      </c>
      <c r="L44" s="63">
        <f t="shared" si="7"/>
        <v>9.9407146818205518</v>
      </c>
      <c r="M44" s="63">
        <f>L44/$B$5</f>
        <v>0.45185066735547963</v>
      </c>
      <c r="N44" s="63">
        <f t="shared" si="9"/>
        <v>4.8667230897549132</v>
      </c>
      <c r="O44">
        <f t="shared" si="10"/>
        <v>0.17921146953405018</v>
      </c>
      <c r="P44">
        <f t="shared" si="11"/>
        <v>736.72833405141319</v>
      </c>
      <c r="Q44">
        <f t="shared" si="12"/>
        <v>2703.7929859686865</v>
      </c>
      <c r="R44">
        <f>Q44*0.000145</f>
        <v>0.39204998296545956</v>
      </c>
    </row>
    <row r="45" spans="1:19" ht="13.5" thickBot="1">
      <c r="A45" s="140">
        <f>A44+250</f>
        <v>750</v>
      </c>
      <c r="B45" s="140">
        <f t="shared" si="0"/>
        <v>83.7</v>
      </c>
      <c r="C45" s="162">
        <f t="shared" si="1"/>
        <v>587.57399999999996</v>
      </c>
      <c r="D45" s="140">
        <f t="shared" ref="D45:D63" si="14">16/A45</f>
        <v>2.1333333333333333E-2</v>
      </c>
      <c r="E45" s="140">
        <v>3.3</v>
      </c>
      <c r="F45" s="170">
        <f t="shared" si="3"/>
        <v>1.6434456569091604</v>
      </c>
      <c r="G45">
        <f t="shared" si="4"/>
        <v>2.6051900553324014E-2</v>
      </c>
      <c r="H45" s="162">
        <f t="shared" si="5"/>
        <v>12.98005672176258</v>
      </c>
      <c r="I45" s="162">
        <f t="shared" si="6"/>
        <v>2777.452997452423</v>
      </c>
      <c r="L45" s="63">
        <f t="shared" si="7"/>
        <v>6.6271431212137024</v>
      </c>
      <c r="M45" s="63">
        <f t="shared" ref="M45:M63" si="15">L45/$B$5</f>
        <v>0.30123377823698649</v>
      </c>
      <c r="N45" s="63">
        <f t="shared" si="9"/>
        <v>4.2514742759517903</v>
      </c>
      <c r="O45">
        <f t="shared" si="10"/>
        <v>0.26881720430107525</v>
      </c>
      <c r="P45">
        <f t="shared" si="11"/>
        <v>1105.0925010771198</v>
      </c>
      <c r="Q45">
        <f t="shared" si="12"/>
        <v>4055.6894789530297</v>
      </c>
      <c r="R45">
        <f t="shared" ref="R45:R63" si="16">Q45*0.000145</f>
        <v>0.58807497444818935</v>
      </c>
    </row>
    <row r="46" spans="1:19" ht="14.25" thickTop="1" thickBot="1">
      <c r="A46" s="167">
        <f t="shared" ref="A46:A63" si="17">A45+250</f>
        <v>1000</v>
      </c>
      <c r="B46" s="167">
        <f t="shared" si="0"/>
        <v>111.6</v>
      </c>
      <c r="C46" s="163">
        <f t="shared" si="1"/>
        <v>783.4319999999999</v>
      </c>
      <c r="D46" s="167">
        <f t="shared" si="14"/>
        <v>1.6E-2</v>
      </c>
      <c r="E46" s="167">
        <v>3.3</v>
      </c>
      <c r="F46" s="171">
        <f t="shared" si="3"/>
        <v>2.1912608758788807</v>
      </c>
      <c r="G46">
        <f t="shared" si="4"/>
        <v>3.4735867404432019E-2</v>
      </c>
      <c r="H46" s="173">
        <f t="shared" si="5"/>
        <v>14.286400856930529</v>
      </c>
      <c r="I46" s="163">
        <f t="shared" si="6"/>
        <v>3056.9825489561026</v>
      </c>
      <c r="J46" s="175" t="s">
        <v>396</v>
      </c>
      <c r="K46" s="176"/>
      <c r="L46" s="163">
        <f t="shared" si="7"/>
        <v>4.9703573409102759</v>
      </c>
      <c r="M46" s="174">
        <f t="shared" si="15"/>
        <v>0.22592533367773981</v>
      </c>
      <c r="N46" s="174">
        <f t="shared" si="9"/>
        <v>3.8627207654052373</v>
      </c>
      <c r="O46" s="167">
        <f t="shared" si="10"/>
        <v>0.35842293906810035</v>
      </c>
      <c r="P46" s="167">
        <f t="shared" si="11"/>
        <v>1473.4566681028264</v>
      </c>
      <c r="Q46" s="167">
        <f t="shared" si="12"/>
        <v>5407.585971937373</v>
      </c>
      <c r="R46" s="167">
        <f t="shared" si="16"/>
        <v>0.78409996593091913</v>
      </c>
      <c r="S46" s="113" t="s">
        <v>392</v>
      </c>
    </row>
    <row r="47" spans="1:19" ht="13.5" thickTop="1">
      <c r="A47" s="140">
        <f t="shared" si="17"/>
        <v>1250</v>
      </c>
      <c r="B47" s="140">
        <f t="shared" si="0"/>
        <v>139.5</v>
      </c>
      <c r="C47" s="162">
        <f t="shared" si="1"/>
        <v>979.29</v>
      </c>
      <c r="D47" s="140">
        <f t="shared" si="14"/>
        <v>1.2800000000000001E-2</v>
      </c>
      <c r="E47" s="140">
        <v>3.3</v>
      </c>
      <c r="F47" s="170">
        <f t="shared" si="3"/>
        <v>2.7390760948486008</v>
      </c>
      <c r="G47">
        <f t="shared" si="4"/>
        <v>4.3419834255540024E-2</v>
      </c>
      <c r="H47" s="162">
        <f t="shared" si="5"/>
        <v>15.389558686466817</v>
      </c>
      <c r="I47" s="162">
        <f t="shared" si="6"/>
        <v>3293.034600652577</v>
      </c>
      <c r="L47" s="166">
        <f t="shared" si="7"/>
        <v>3.9762858727282215</v>
      </c>
      <c r="M47" s="63">
        <f t="shared" si="15"/>
        <v>0.18074026694219189</v>
      </c>
      <c r="N47" s="166">
        <f t="shared" si="9"/>
        <v>3.5858323410856778</v>
      </c>
      <c r="O47">
        <f t="shared" si="10"/>
        <v>0.4480286738351254</v>
      </c>
      <c r="P47">
        <f t="shared" si="11"/>
        <v>1841.820835128533</v>
      </c>
      <c r="Q47">
        <f t="shared" si="12"/>
        <v>6759.4824649217162</v>
      </c>
      <c r="R47">
        <f t="shared" si="16"/>
        <v>0.9801249574136488</v>
      </c>
    </row>
    <row r="48" spans="1:19" ht="14.25" customHeight="1">
      <c r="A48" s="140">
        <f t="shared" si="17"/>
        <v>1500</v>
      </c>
      <c r="B48" s="140">
        <f t="shared" si="0"/>
        <v>167.4</v>
      </c>
      <c r="C48" s="162">
        <f t="shared" si="1"/>
        <v>1175.1479999999999</v>
      </c>
      <c r="D48" s="140">
        <f t="shared" si="14"/>
        <v>1.0666666666666666E-2</v>
      </c>
      <c r="E48" s="140">
        <v>3.3</v>
      </c>
      <c r="F48" s="170">
        <f t="shared" si="3"/>
        <v>3.2868913138183209</v>
      </c>
      <c r="G48">
        <f t="shared" si="4"/>
        <v>5.2103801106648029E-2</v>
      </c>
      <c r="H48" s="162">
        <f t="shared" si="5"/>
        <v>16.353846314724034</v>
      </c>
      <c r="I48" s="162">
        <f t="shared" si="6"/>
        <v>3499.3714157312716</v>
      </c>
      <c r="L48" s="63">
        <f t="shared" si="7"/>
        <v>3.3135715606068512</v>
      </c>
      <c r="M48" s="63">
        <f t="shared" si="15"/>
        <v>0.15061688911849325</v>
      </c>
      <c r="N48" s="63">
        <f t="shared" si="9"/>
        <v>3.3743974469959395</v>
      </c>
      <c r="O48">
        <f t="shared" si="10"/>
        <v>0.5376344086021505</v>
      </c>
      <c r="P48">
        <f t="shared" si="11"/>
        <v>2210.1850021542396</v>
      </c>
      <c r="Q48">
        <f t="shared" si="12"/>
        <v>8111.3789579060594</v>
      </c>
      <c r="R48">
        <f t="shared" si="16"/>
        <v>1.1761499488963787</v>
      </c>
    </row>
    <row r="49" spans="1:18">
      <c r="A49" s="140">
        <f t="shared" si="17"/>
        <v>1750</v>
      </c>
      <c r="B49" s="140">
        <f t="shared" si="0"/>
        <v>195.3</v>
      </c>
      <c r="C49" s="162">
        <f t="shared" si="1"/>
        <v>1371.0060000000001</v>
      </c>
      <c r="D49" s="140">
        <f t="shared" si="14"/>
        <v>9.1428571428571435E-3</v>
      </c>
      <c r="E49" s="140">
        <v>3.3</v>
      </c>
      <c r="F49" s="170">
        <f t="shared" si="3"/>
        <v>3.8347065327880414</v>
      </c>
      <c r="G49">
        <f t="shared" si="4"/>
        <v>6.0787767957756041E-2</v>
      </c>
      <c r="H49" s="162">
        <f t="shared" si="5"/>
        <v>17.216128932971493</v>
      </c>
      <c r="I49" s="162">
        <f t="shared" si="6"/>
        <v>3683.8813523240074</v>
      </c>
      <c r="L49" s="63">
        <f t="shared" si="7"/>
        <v>2.8402041948058718</v>
      </c>
      <c r="M49" s="63">
        <f t="shared" si="15"/>
        <v>0.12910019067299416</v>
      </c>
      <c r="N49" s="63">
        <f t="shared" si="9"/>
        <v>3.2053882419108919</v>
      </c>
      <c r="O49">
        <f t="shared" si="10"/>
        <v>0.62724014336917566</v>
      </c>
      <c r="P49">
        <f t="shared" si="11"/>
        <v>2578.5491691799466</v>
      </c>
      <c r="Q49">
        <f t="shared" si="12"/>
        <v>9463.2754508904036</v>
      </c>
      <c r="R49">
        <f t="shared" si="16"/>
        <v>1.3721749403791086</v>
      </c>
    </row>
    <row r="50" spans="1:18">
      <c r="A50" s="140">
        <f t="shared" si="17"/>
        <v>2000</v>
      </c>
      <c r="B50" s="140">
        <f t="shared" si="0"/>
        <v>223.2</v>
      </c>
      <c r="C50" s="162">
        <f t="shared" si="1"/>
        <v>1566.8639999999998</v>
      </c>
      <c r="D50" s="140">
        <f t="shared" si="14"/>
        <v>8.0000000000000002E-3</v>
      </c>
      <c r="E50" s="140">
        <v>3.3</v>
      </c>
      <c r="F50" s="170">
        <f t="shared" si="3"/>
        <v>4.3825217517577615</v>
      </c>
      <c r="G50">
        <f t="shared" si="4"/>
        <v>6.9471734808864039E-2</v>
      </c>
      <c r="H50" s="162">
        <f t="shared" si="5"/>
        <v>17.9997367510007</v>
      </c>
      <c r="I50" s="162">
        <f t="shared" si="6"/>
        <v>3851.556573601225</v>
      </c>
      <c r="L50" s="63">
        <f t="shared" si="7"/>
        <v>2.485178670455138</v>
      </c>
      <c r="M50" s="63">
        <f t="shared" si="15"/>
        <v>0.11296266683886991</v>
      </c>
      <c r="N50" s="63">
        <f t="shared" si="9"/>
        <v>3.0658435740678676</v>
      </c>
      <c r="O50">
        <f t="shared" si="10"/>
        <v>0.71684587813620071</v>
      </c>
      <c r="P50">
        <f t="shared" si="11"/>
        <v>2946.9133362056527</v>
      </c>
      <c r="Q50">
        <f t="shared" si="12"/>
        <v>10815.171943874746</v>
      </c>
      <c r="R50">
        <f t="shared" si="16"/>
        <v>1.5681999318618383</v>
      </c>
    </row>
    <row r="51" spans="1:18">
      <c r="A51" s="164">
        <f t="shared" si="17"/>
        <v>2250</v>
      </c>
      <c r="B51">
        <f t="shared" si="0"/>
        <v>251.1</v>
      </c>
      <c r="C51" s="63">
        <f t="shared" si="1"/>
        <v>1762.7219999999998</v>
      </c>
      <c r="D51">
        <f t="shared" si="14"/>
        <v>7.1111111111111115E-3</v>
      </c>
      <c r="E51">
        <v>3.3</v>
      </c>
      <c r="F51" s="121">
        <f t="shared" si="3"/>
        <v>4.930336970727482</v>
      </c>
      <c r="G51">
        <f t="shared" si="4"/>
        <v>7.8155701659972057E-2</v>
      </c>
      <c r="H51" s="172">
        <f t="shared" si="5"/>
        <v>18.720480543976198</v>
      </c>
      <c r="I51" s="172">
        <f t="shared" si="6"/>
        <v>4005.780245431466</v>
      </c>
      <c r="L51" s="63">
        <f t="shared" si="7"/>
        <v>2.2090477070712335</v>
      </c>
      <c r="M51" s="63">
        <f t="shared" si="15"/>
        <v>0.1004112594123288</v>
      </c>
      <c r="N51" s="63">
        <f t="shared" si="9"/>
        <v>2.9478077297927987</v>
      </c>
      <c r="O51">
        <f t="shared" si="10"/>
        <v>0.80645161290322587</v>
      </c>
      <c r="P51">
        <f t="shared" si="11"/>
        <v>3315.2775032313602</v>
      </c>
      <c r="Q51">
        <f t="shared" si="12"/>
        <v>12167.068436859092</v>
      </c>
      <c r="R51">
        <f t="shared" si="16"/>
        <v>1.7642249233445684</v>
      </c>
    </row>
    <row r="52" spans="1:18">
      <c r="A52" s="164">
        <f t="shared" si="17"/>
        <v>2500</v>
      </c>
      <c r="B52">
        <f t="shared" si="0"/>
        <v>279</v>
      </c>
      <c r="C52" s="63">
        <f t="shared" si="1"/>
        <v>1958.58</v>
      </c>
      <c r="D52">
        <f t="shared" si="14"/>
        <v>6.4000000000000003E-3</v>
      </c>
      <c r="E52">
        <v>3.3</v>
      </c>
      <c r="F52" s="121">
        <f t="shared" si="3"/>
        <v>5.4781521896972016</v>
      </c>
      <c r="G52">
        <f t="shared" si="4"/>
        <v>8.6839668511080048E-2</v>
      </c>
      <c r="H52" s="172">
        <f t="shared" si="5"/>
        <v>19.389628489676493</v>
      </c>
      <c r="I52" s="172">
        <f t="shared" si="6"/>
        <v>4148.963515532927</v>
      </c>
      <c r="L52" s="63">
        <f t="shared" si="7"/>
        <v>1.9881429363641108</v>
      </c>
      <c r="M52" s="63">
        <f t="shared" si="15"/>
        <v>9.0370133471095945E-2</v>
      </c>
      <c r="N52" s="63">
        <f t="shared" si="9"/>
        <v>2.8460770809688403</v>
      </c>
      <c r="O52">
        <f t="shared" si="10"/>
        <v>0.8960573476702508</v>
      </c>
      <c r="P52">
        <f t="shared" si="11"/>
        <v>3683.6416702570659</v>
      </c>
      <c r="Q52">
        <f t="shared" si="12"/>
        <v>13518.964929843432</v>
      </c>
      <c r="R52">
        <f t="shared" si="16"/>
        <v>1.9602499148272976</v>
      </c>
    </row>
    <row r="53" spans="1:18">
      <c r="A53" s="164">
        <f t="shared" si="17"/>
        <v>2750</v>
      </c>
      <c r="B53">
        <f t="shared" si="0"/>
        <v>306.89999999999998</v>
      </c>
      <c r="C53" s="63">
        <f t="shared" si="1"/>
        <v>2154.4379999999996</v>
      </c>
      <c r="D53">
        <f t="shared" si="14"/>
        <v>5.8181818181818178E-3</v>
      </c>
      <c r="E53">
        <v>3.3</v>
      </c>
      <c r="F53" s="121">
        <f t="shared" si="3"/>
        <v>6.0259674086669213</v>
      </c>
      <c r="G53">
        <f t="shared" si="4"/>
        <v>9.5523635362188039E-2</v>
      </c>
      <c r="H53" s="172">
        <f t="shared" si="5"/>
        <v>20.015527872389864</v>
      </c>
      <c r="I53" s="172">
        <f t="shared" si="6"/>
        <v>4282.8925232318097</v>
      </c>
      <c r="L53" s="63">
        <f t="shared" si="7"/>
        <v>1.807402669421919</v>
      </c>
      <c r="M53" s="63">
        <f t="shared" si="15"/>
        <v>8.2154666791905404E-2</v>
      </c>
      <c r="N53" s="63">
        <f t="shared" si="9"/>
        <v>2.7570782846597837</v>
      </c>
      <c r="O53">
        <f t="shared" si="10"/>
        <v>0.98566308243727585</v>
      </c>
      <c r="P53">
        <f t="shared" si="11"/>
        <v>4052.0058372827721</v>
      </c>
      <c r="Q53">
        <f t="shared" si="12"/>
        <v>14870.861422827773</v>
      </c>
      <c r="R53">
        <f t="shared" si="16"/>
        <v>2.1562749063100273</v>
      </c>
    </row>
    <row r="54" spans="1:18">
      <c r="A54" s="164">
        <f t="shared" si="17"/>
        <v>3000</v>
      </c>
      <c r="B54">
        <f t="shared" si="0"/>
        <v>334.8</v>
      </c>
      <c r="C54" s="63">
        <f t="shared" si="1"/>
        <v>2350.2959999999998</v>
      </c>
      <c r="D54">
        <f t="shared" si="14"/>
        <v>5.3333333333333332E-3</v>
      </c>
      <c r="E54">
        <v>3.3</v>
      </c>
      <c r="F54" s="121">
        <f t="shared" si="3"/>
        <v>6.5737826276366418</v>
      </c>
      <c r="G54">
        <f t="shared" si="4"/>
        <v>0.10420760221329606</v>
      </c>
      <c r="H54" s="172">
        <f t="shared" si="5"/>
        <v>20.604554742600193</v>
      </c>
      <c r="I54" s="172">
        <f t="shared" si="6"/>
        <v>4408.9316062122989</v>
      </c>
      <c r="L54" s="63">
        <f t="shared" si="7"/>
        <v>1.6567857803034256</v>
      </c>
      <c r="M54" s="63">
        <f t="shared" si="15"/>
        <v>7.5308444559246623E-2</v>
      </c>
      <c r="N54" s="63">
        <f t="shared" si="9"/>
        <v>2.678261090441052</v>
      </c>
      <c r="O54">
        <f t="shared" si="10"/>
        <v>1.075268817204301</v>
      </c>
      <c r="P54">
        <f t="shared" si="11"/>
        <v>4420.3700043084791</v>
      </c>
      <c r="Q54">
        <f t="shared" si="12"/>
        <v>16222.757915812119</v>
      </c>
      <c r="R54">
        <f t="shared" si="16"/>
        <v>2.3522998977927574</v>
      </c>
    </row>
    <row r="55" spans="1:18">
      <c r="A55" s="164">
        <f t="shared" si="17"/>
        <v>3250</v>
      </c>
      <c r="B55">
        <f t="shared" si="0"/>
        <v>362.7</v>
      </c>
      <c r="C55" s="63">
        <f t="shared" si="1"/>
        <v>2546.1539999999995</v>
      </c>
      <c r="D55">
        <f t="shared" si="14"/>
        <v>4.9230769230769232E-3</v>
      </c>
      <c r="E55">
        <v>3.3</v>
      </c>
      <c r="F55" s="121">
        <f t="shared" si="3"/>
        <v>7.1215978466063632</v>
      </c>
      <c r="G55">
        <f t="shared" si="4"/>
        <v>0.11289156906440408</v>
      </c>
      <c r="H55" s="172">
        <f t="shared" si="5"/>
        <v>21.161702353762635</v>
      </c>
      <c r="I55" s="172">
        <f t="shared" si="6"/>
        <v>4528.1492133320044</v>
      </c>
      <c r="L55" s="63">
        <f t="shared" si="7"/>
        <v>1.5293407202800848</v>
      </c>
      <c r="M55" s="63">
        <f t="shared" si="15"/>
        <v>6.9515487285458408E-2</v>
      </c>
      <c r="N55" s="63">
        <f t="shared" si="9"/>
        <v>2.6077475398928258</v>
      </c>
      <c r="O55">
        <f t="shared" si="10"/>
        <v>1.1648745519713262</v>
      </c>
      <c r="P55">
        <f t="shared" si="11"/>
        <v>4788.7341713341866</v>
      </c>
      <c r="Q55">
        <f t="shared" si="12"/>
        <v>17574.654408796465</v>
      </c>
      <c r="R55">
        <f t="shared" si="16"/>
        <v>2.5483248892754875</v>
      </c>
    </row>
    <row r="56" spans="1:18">
      <c r="A56" s="164">
        <f t="shared" si="17"/>
        <v>3500</v>
      </c>
      <c r="B56">
        <f t="shared" si="0"/>
        <v>390.6</v>
      </c>
      <c r="C56" s="63">
        <f t="shared" si="1"/>
        <v>2742.0120000000002</v>
      </c>
      <c r="D56">
        <f t="shared" si="14"/>
        <v>4.5714285714285718E-3</v>
      </c>
      <c r="E56">
        <v>3.3</v>
      </c>
      <c r="F56" s="121">
        <f t="shared" si="3"/>
        <v>7.6694130655760828</v>
      </c>
      <c r="G56">
        <f t="shared" si="4"/>
        <v>0.12157553591551208</v>
      </c>
      <c r="H56" s="172">
        <f t="shared" si="5"/>
        <v>21.690962739187281</v>
      </c>
      <c r="I56" s="172">
        <f t="shared" si="6"/>
        <v>4641.3995538691061</v>
      </c>
      <c r="L56" s="63">
        <f t="shared" si="7"/>
        <v>1.4201020974029359</v>
      </c>
      <c r="M56" s="63">
        <f t="shared" si="15"/>
        <v>6.4550095336497082E-2</v>
      </c>
      <c r="N56" s="63">
        <f t="shared" si="9"/>
        <v>2.5441183923695396</v>
      </c>
      <c r="O56">
        <f t="shared" si="10"/>
        <v>1.2544802867383513</v>
      </c>
      <c r="P56">
        <f t="shared" si="11"/>
        <v>5157.0983383598932</v>
      </c>
      <c r="Q56">
        <f t="shared" si="12"/>
        <v>18926.550901780807</v>
      </c>
      <c r="R56">
        <f t="shared" si="16"/>
        <v>2.7443498807582172</v>
      </c>
    </row>
    <row r="57" spans="1:18">
      <c r="A57" s="164">
        <f t="shared" si="17"/>
        <v>3750</v>
      </c>
      <c r="B57">
        <f t="shared" si="0"/>
        <v>418.5</v>
      </c>
      <c r="C57" s="63">
        <f t="shared" si="1"/>
        <v>2937.87</v>
      </c>
      <c r="D57">
        <f t="shared" si="14"/>
        <v>4.2666666666666669E-3</v>
      </c>
      <c r="E57">
        <v>3.3</v>
      </c>
      <c r="F57" s="121">
        <f t="shared" si="3"/>
        <v>8.2172282845458025</v>
      </c>
      <c r="G57">
        <f t="shared" si="4"/>
        <v>0.13025950276662007</v>
      </c>
      <c r="H57" s="172">
        <f t="shared" si="5"/>
        <v>22.195583589966041</v>
      </c>
      <c r="I57" s="172">
        <f t="shared" si="6"/>
        <v>4749.3775638744537</v>
      </c>
      <c r="L57" s="63">
        <f t="shared" si="7"/>
        <v>1.3254286242427404</v>
      </c>
      <c r="M57" s="63">
        <f t="shared" si="15"/>
        <v>6.0246755647397295E-2</v>
      </c>
      <c r="N57" s="63">
        <f t="shared" si="9"/>
        <v>2.4862773726713789</v>
      </c>
      <c r="O57">
        <f t="shared" si="10"/>
        <v>1.3440860215053763</v>
      </c>
      <c r="P57">
        <f t="shared" si="11"/>
        <v>5525.4625053855989</v>
      </c>
      <c r="Q57">
        <f t="shared" si="12"/>
        <v>20278.447394765146</v>
      </c>
      <c r="R57">
        <f t="shared" si="16"/>
        <v>2.940374872240946</v>
      </c>
    </row>
    <row r="58" spans="1:18">
      <c r="A58" s="164">
        <f t="shared" si="17"/>
        <v>4000</v>
      </c>
      <c r="B58">
        <f t="shared" si="0"/>
        <v>446.4</v>
      </c>
      <c r="C58" s="63">
        <f t="shared" si="1"/>
        <v>3133.7279999999996</v>
      </c>
      <c r="D58">
        <f t="shared" si="14"/>
        <v>4.0000000000000001E-3</v>
      </c>
      <c r="E58">
        <v>3.3</v>
      </c>
      <c r="F58" s="121">
        <f t="shared" si="3"/>
        <v>8.765043503515523</v>
      </c>
      <c r="G58">
        <f t="shared" si="4"/>
        <v>0.13894346961772808</v>
      </c>
      <c r="H58" s="172">
        <f t="shared" si="5"/>
        <v>22.678246701173375</v>
      </c>
      <c r="I58" s="172">
        <f t="shared" si="6"/>
        <v>4852.6570898209693</v>
      </c>
      <c r="L58" s="63">
        <f t="shared" si="7"/>
        <v>1.242589335227569</v>
      </c>
      <c r="M58" s="63">
        <f t="shared" si="15"/>
        <v>5.6481333419434954E-2</v>
      </c>
      <c r="N58" s="63">
        <f t="shared" si="9"/>
        <v>2.4333617135452315</v>
      </c>
      <c r="O58">
        <f t="shared" si="10"/>
        <v>1.4336917562724014</v>
      </c>
      <c r="P58">
        <f t="shared" si="11"/>
        <v>5893.8266724113055</v>
      </c>
      <c r="Q58">
        <f t="shared" si="12"/>
        <v>21630.343887749492</v>
      </c>
      <c r="R58">
        <f t="shared" si="16"/>
        <v>3.1363998637236765</v>
      </c>
    </row>
    <row r="59" spans="1:18">
      <c r="A59" s="164">
        <f t="shared" si="17"/>
        <v>4250</v>
      </c>
      <c r="B59">
        <f t="shared" si="0"/>
        <v>474.3</v>
      </c>
      <c r="C59" s="63">
        <f t="shared" si="1"/>
        <v>3329.5859999999998</v>
      </c>
      <c r="D59">
        <f t="shared" si="14"/>
        <v>3.7647058823529413E-3</v>
      </c>
      <c r="E59">
        <v>3.3</v>
      </c>
      <c r="F59" s="121">
        <f t="shared" si="3"/>
        <v>9.3128587224852435</v>
      </c>
      <c r="G59">
        <f t="shared" si="4"/>
        <v>0.14762743646883608</v>
      </c>
      <c r="H59" s="172">
        <f t="shared" si="5"/>
        <v>23.141195290831924</v>
      </c>
      <c r="I59" s="172">
        <f t="shared" si="6"/>
        <v>4951.7181321242497</v>
      </c>
      <c r="L59" s="63">
        <f t="shared" si="7"/>
        <v>1.169495844920065</v>
      </c>
      <c r="M59" s="63">
        <f t="shared" si="15"/>
        <v>5.3158902041821138E-2</v>
      </c>
      <c r="N59" s="63">
        <f t="shared" si="9"/>
        <v>2.384681368417978</v>
      </c>
      <c r="O59">
        <f t="shared" si="10"/>
        <v>1.5232974910394266</v>
      </c>
      <c r="P59">
        <f t="shared" si="11"/>
        <v>6262.190839437013</v>
      </c>
      <c r="Q59">
        <f t="shared" si="12"/>
        <v>22982.240380733838</v>
      </c>
      <c r="R59">
        <f t="shared" si="16"/>
        <v>3.3324248552064066</v>
      </c>
    </row>
    <row r="60" spans="1:18">
      <c r="A60" s="164">
        <f t="shared" si="17"/>
        <v>4500</v>
      </c>
      <c r="B60">
        <f t="shared" si="0"/>
        <v>502.2</v>
      </c>
      <c r="C60" s="63">
        <f t="shared" si="1"/>
        <v>3525.4439999999995</v>
      </c>
      <c r="D60">
        <f t="shared" si="14"/>
        <v>3.5555555555555557E-3</v>
      </c>
      <c r="E60">
        <v>3.3</v>
      </c>
      <c r="F60" s="121">
        <f t="shared" si="3"/>
        <v>9.860673941454964</v>
      </c>
      <c r="G60">
        <f t="shared" si="4"/>
        <v>0.15631140331994411</v>
      </c>
      <c r="H60" s="172">
        <f t="shared" si="5"/>
        <v>23.586326956543168</v>
      </c>
      <c r="I60" s="172">
        <f t="shared" si="6"/>
        <v>5046.9667358624629</v>
      </c>
      <c r="L60" s="63">
        <f t="shared" si="7"/>
        <v>1.1045238535356168</v>
      </c>
      <c r="M60" s="63">
        <f t="shared" si="15"/>
        <v>5.0205629706164399E-2</v>
      </c>
      <c r="N60" s="63">
        <f t="shared" si="9"/>
        <v>2.3396765996945463</v>
      </c>
      <c r="O60">
        <f t="shared" si="10"/>
        <v>1.6129032258064517</v>
      </c>
      <c r="P60">
        <f t="shared" si="11"/>
        <v>6630.5550064627205</v>
      </c>
      <c r="Q60">
        <f t="shared" si="12"/>
        <v>24334.136873718184</v>
      </c>
      <c r="R60">
        <f t="shared" si="16"/>
        <v>3.5284498466891367</v>
      </c>
    </row>
    <row r="61" spans="1:18">
      <c r="A61" s="164">
        <f t="shared" si="17"/>
        <v>4750</v>
      </c>
      <c r="B61">
        <f t="shared" si="0"/>
        <v>530.1</v>
      </c>
      <c r="C61" s="63">
        <f t="shared" si="1"/>
        <v>3721.3020000000001</v>
      </c>
      <c r="D61">
        <f t="shared" si="14"/>
        <v>3.3684210526315791E-3</v>
      </c>
      <c r="E61">
        <v>3.3</v>
      </c>
      <c r="F61" s="121">
        <f t="shared" si="3"/>
        <v>10.408489160424683</v>
      </c>
      <c r="G61">
        <f t="shared" si="4"/>
        <v>0.16499537017105209</v>
      </c>
      <c r="H61" s="172">
        <f t="shared" si="5"/>
        <v>24.015262919027577</v>
      </c>
      <c r="I61" s="172">
        <f t="shared" si="6"/>
        <v>5138.7498074048253</v>
      </c>
      <c r="L61" s="63">
        <f t="shared" si="7"/>
        <v>1.0463910191390058</v>
      </c>
      <c r="M61" s="63">
        <f t="shared" si="15"/>
        <v>4.756322814268208E-2</v>
      </c>
      <c r="N61" s="63">
        <f t="shared" si="9"/>
        <v>2.2978876991284363</v>
      </c>
      <c r="O61">
        <f t="shared" si="10"/>
        <v>1.7025089605734764</v>
      </c>
      <c r="P61">
        <f t="shared" si="11"/>
        <v>6998.9191734884253</v>
      </c>
      <c r="Q61">
        <f t="shared" si="12"/>
        <v>25686.033366702519</v>
      </c>
      <c r="R61">
        <f t="shared" si="16"/>
        <v>3.7244748381718651</v>
      </c>
    </row>
    <row r="62" spans="1:18">
      <c r="A62" s="164">
        <f t="shared" si="17"/>
        <v>5000</v>
      </c>
      <c r="B62">
        <f t="shared" si="0"/>
        <v>558</v>
      </c>
      <c r="C62" s="63">
        <f t="shared" si="1"/>
        <v>3917.16</v>
      </c>
      <c r="D62">
        <f t="shared" si="14"/>
        <v>3.2000000000000002E-3</v>
      </c>
      <c r="E62">
        <v>3.3</v>
      </c>
      <c r="F62" s="121">
        <f t="shared" si="3"/>
        <v>10.956304379394403</v>
      </c>
      <c r="G62">
        <f t="shared" si="4"/>
        <v>0.1736793370221601</v>
      </c>
      <c r="H62" s="172">
        <f t="shared" si="5"/>
        <v>24.429400519345737</v>
      </c>
      <c r="I62" s="172">
        <f t="shared" si="6"/>
        <v>5227.3663476879592</v>
      </c>
      <c r="L62" s="63">
        <f t="shared" si="7"/>
        <v>0.99407146818205538</v>
      </c>
      <c r="M62" s="63">
        <f t="shared" si="15"/>
        <v>4.5185066735547973E-2</v>
      </c>
      <c r="N62" s="63">
        <f t="shared" si="9"/>
        <v>2.2589329283486923</v>
      </c>
      <c r="O62">
        <f t="shared" si="10"/>
        <v>1.7921146953405016</v>
      </c>
      <c r="P62">
        <f t="shared" si="11"/>
        <v>7367.2833405141319</v>
      </c>
      <c r="Q62">
        <f t="shared" si="12"/>
        <v>27037.929859686865</v>
      </c>
      <c r="R62">
        <f t="shared" si="16"/>
        <v>3.9204998296545952</v>
      </c>
    </row>
    <row r="63" spans="1:18">
      <c r="A63" s="164">
        <f t="shared" si="17"/>
        <v>5250</v>
      </c>
      <c r="B63">
        <f t="shared" si="0"/>
        <v>585.9</v>
      </c>
      <c r="C63" s="63">
        <f t="shared" si="1"/>
        <v>4113.018</v>
      </c>
      <c r="D63">
        <f t="shared" si="14"/>
        <v>3.0476190476190477E-3</v>
      </c>
      <c r="E63">
        <v>3.3</v>
      </c>
      <c r="F63" s="121">
        <f t="shared" si="3"/>
        <v>11.504119598364124</v>
      </c>
      <c r="G63">
        <f t="shared" si="4"/>
        <v>0.1823633038732681</v>
      </c>
      <c r="H63" s="172">
        <f t="shared" si="5"/>
        <v>24.829953646651987</v>
      </c>
      <c r="I63" s="172">
        <f t="shared" si="6"/>
        <v>5313.0761028857478</v>
      </c>
      <c r="L63" s="63">
        <f t="shared" si="7"/>
        <v>0.94673473160195742</v>
      </c>
      <c r="M63" s="63">
        <f t="shared" si="15"/>
        <v>4.3033396890998062E-2</v>
      </c>
      <c r="N63" s="63">
        <f t="shared" si="9"/>
        <v>2.222492157588448</v>
      </c>
      <c r="O63">
        <f t="shared" si="10"/>
        <v>1.8817204301075268</v>
      </c>
      <c r="P63">
        <f t="shared" si="11"/>
        <v>7735.6475075398375</v>
      </c>
      <c r="Q63">
        <f t="shared" si="12"/>
        <v>28389.826352671203</v>
      </c>
      <c r="R63">
        <f t="shared" si="16"/>
        <v>4.1165248211373244</v>
      </c>
    </row>
    <row r="65" spans="1:24" ht="13.5" thickBot="1"/>
    <row r="66" spans="1:24" ht="13.5" thickTop="1">
      <c r="U66" s="125" t="s">
        <v>480</v>
      </c>
      <c r="V66" s="193">
        <v>-2.03581E-11</v>
      </c>
      <c r="W66" s="3">
        <f>V66*X66^4</f>
        <v>-4258.2967256099291</v>
      </c>
      <c r="X66" s="3">
        <f>C82</f>
        <v>3802.9854980142259</v>
      </c>
    </row>
    <row r="67" spans="1:24">
      <c r="U67" s="146" t="s">
        <v>481</v>
      </c>
      <c r="V67" s="194">
        <v>2.5878300000000002E-7</v>
      </c>
      <c r="W67" s="3">
        <f>V67*X66^3</f>
        <v>14233.435942411308</v>
      </c>
    </row>
    <row r="68" spans="1:24">
      <c r="B68" s="113" t="s">
        <v>479</v>
      </c>
      <c r="E68" s="113" t="s">
        <v>409</v>
      </c>
      <c r="U68" s="146" t="s">
        <v>482</v>
      </c>
      <c r="V68" s="194">
        <v>-1.194E-3</v>
      </c>
      <c r="W68" s="3">
        <f>V68*X66^2</f>
        <v>-17268.462245539169</v>
      </c>
    </row>
    <row r="69" spans="1:24">
      <c r="A69">
        <v>0</v>
      </c>
      <c r="B69" t="e">
        <f t="shared" ref="B69:B109" si="18">((($A$44*7.02*2.79)/A69)^0.33333333)*1.3</f>
        <v>#DIV/0!</v>
      </c>
      <c r="U69" s="146" t="s">
        <v>483</v>
      </c>
      <c r="V69" s="194">
        <v>2.85</v>
      </c>
      <c r="W69" s="3">
        <f>V69*X66</f>
        <v>10838.508669340545</v>
      </c>
    </row>
    <row r="70" spans="1:24" ht="13.5" thickBot="1">
      <c r="A70">
        <f>A69+1</f>
        <v>1</v>
      </c>
      <c r="B70">
        <f t="shared" si="18"/>
        <v>27.81295366286362</v>
      </c>
      <c r="E70" s="113" t="s">
        <v>410</v>
      </c>
      <c r="F70">
        <v>3</v>
      </c>
      <c r="U70" s="192" t="s">
        <v>484</v>
      </c>
      <c r="V70" s="195">
        <v>1214.18</v>
      </c>
      <c r="W70">
        <f>V70</f>
        <v>1214.18</v>
      </c>
    </row>
    <row r="71" spans="1:24" ht="13.5" thickTop="1">
      <c r="A71">
        <f t="shared" ref="A71:A109" si="19">A70+1</f>
        <v>2</v>
      </c>
      <c r="B71">
        <f t="shared" si="18"/>
        <v>22.075156002390692</v>
      </c>
      <c r="E71" s="113" t="s">
        <v>411</v>
      </c>
      <c r="F71">
        <v>0.37</v>
      </c>
      <c r="W71" s="3">
        <f>SUM(W66:W70)</f>
        <v>4759.3656406027549</v>
      </c>
    </row>
    <row r="72" spans="1:24">
      <c r="A72">
        <f t="shared" si="19"/>
        <v>3</v>
      </c>
      <c r="B72">
        <f t="shared" si="18"/>
        <v>19.284425065758633</v>
      </c>
      <c r="E72" s="113" t="s">
        <v>412</v>
      </c>
      <c r="F72">
        <f>F70*F71</f>
        <v>1.1099999999999999</v>
      </c>
    </row>
    <row r="73" spans="1:24">
      <c r="A73">
        <f t="shared" si="19"/>
        <v>4</v>
      </c>
      <c r="B73">
        <f t="shared" si="18"/>
        <v>17.521062970760795</v>
      </c>
    </row>
    <row r="74" spans="1:24" ht="27.75">
      <c r="A74">
        <f t="shared" si="19"/>
        <v>5</v>
      </c>
      <c r="B74">
        <f t="shared" si="18"/>
        <v>16.265114059720119</v>
      </c>
      <c r="C74" t="s">
        <v>477</v>
      </c>
      <c r="D74" s="113" t="s">
        <v>478</v>
      </c>
      <c r="E74" s="118" t="s">
        <v>485</v>
      </c>
      <c r="F74" s="118" t="s">
        <v>486</v>
      </c>
      <c r="G74" s="113" t="s">
        <v>413</v>
      </c>
      <c r="H74" s="113" t="s">
        <v>414</v>
      </c>
      <c r="I74" s="113" t="s">
        <v>415</v>
      </c>
      <c r="J74" s="113" t="s">
        <v>417</v>
      </c>
      <c r="K74" s="113" t="s">
        <v>416</v>
      </c>
      <c r="L74" s="113" t="s">
        <v>418</v>
      </c>
    </row>
    <row r="75" spans="1:24">
      <c r="A75">
        <f t="shared" si="19"/>
        <v>6</v>
      </c>
      <c r="B75">
        <f t="shared" si="18"/>
        <v>15.306058353358084</v>
      </c>
      <c r="C75" s="197">
        <f t="shared" ref="C75:C82" si="20">(4*G75*$B$32)/(PI()*$B$26*$B$30*60)</f>
        <v>95.074637450355652</v>
      </c>
      <c r="D75" s="197">
        <f t="shared" ref="D75:D82" si="21">($V$66*C75^4)+($V$67*C75^3)+($V$68*C75^2)+($V$69*C75)+$V$70</f>
        <v>1474.5706618694935</v>
      </c>
      <c r="E75" s="198">
        <f>(0.5*PI()*$B$26*B11)/1000000</f>
        <v>1.7530087007031046E-4</v>
      </c>
      <c r="F75" s="197">
        <f t="shared" ref="F75:F82" si="22">$F$72/(D75*E75)</f>
        <v>4.2941115118660171</v>
      </c>
      <c r="G75" s="179">
        <v>12.5</v>
      </c>
      <c r="H75" s="179">
        <v>34.299999999999997</v>
      </c>
      <c r="I75" s="179">
        <v>25.1</v>
      </c>
      <c r="J75" s="179">
        <v>25.9</v>
      </c>
      <c r="K75" s="179">
        <v>26.7</v>
      </c>
    </row>
    <row r="76" spans="1:24">
      <c r="A76">
        <f t="shared" si="19"/>
        <v>7</v>
      </c>
      <c r="B76">
        <f t="shared" si="18"/>
        <v>14.539442973039758</v>
      </c>
      <c r="C76" s="3">
        <f t="shared" si="20"/>
        <v>190.1492749007113</v>
      </c>
      <c r="D76" s="3">
        <f t="shared" si="21"/>
        <v>1714.6868429914457</v>
      </c>
      <c r="E76" s="196">
        <f>E75</f>
        <v>1.7530087007031046E-4</v>
      </c>
      <c r="F76" s="3">
        <f t="shared" si="22"/>
        <v>3.6927855836036607</v>
      </c>
      <c r="G76">
        <v>25</v>
      </c>
      <c r="H76">
        <v>33.799999999999997</v>
      </c>
      <c r="I76">
        <v>24.9</v>
      </c>
      <c r="J76">
        <v>25.5</v>
      </c>
      <c r="K76">
        <v>26.2</v>
      </c>
    </row>
    <row r="77" spans="1:24">
      <c r="A77">
        <f t="shared" si="19"/>
        <v>8</v>
      </c>
      <c r="B77">
        <f t="shared" si="18"/>
        <v>13.906476927824162</v>
      </c>
      <c r="C77" s="3">
        <f t="shared" si="20"/>
        <v>380.29854980142261</v>
      </c>
      <c r="D77" s="3">
        <f t="shared" si="21"/>
        <v>2139.1538507485129</v>
      </c>
      <c r="E77" s="196">
        <f t="shared" ref="E77:E82" si="23">E76</f>
        <v>1.7530087007031046E-4</v>
      </c>
      <c r="F77" s="3">
        <f t="shared" si="22"/>
        <v>2.9600352737499738</v>
      </c>
      <c r="G77">
        <v>50</v>
      </c>
      <c r="H77">
        <v>34.1</v>
      </c>
      <c r="I77">
        <v>24.9</v>
      </c>
      <c r="J77">
        <v>25.3</v>
      </c>
      <c r="K77">
        <v>25.9</v>
      </c>
    </row>
    <row r="78" spans="1:24">
      <c r="A78">
        <f t="shared" si="19"/>
        <v>9</v>
      </c>
      <c r="B78">
        <f t="shared" si="18"/>
        <v>13.371073587679144</v>
      </c>
      <c r="C78" s="3">
        <f t="shared" si="20"/>
        <v>760.59709960284522</v>
      </c>
      <c r="D78" s="3">
        <f t="shared" si="21"/>
        <v>2798.197456824857</v>
      </c>
      <c r="E78" s="196">
        <f t="shared" si="23"/>
        <v>1.7530087007031046E-4</v>
      </c>
      <c r="F78" s="3">
        <f t="shared" si="22"/>
        <v>2.2628749228364451</v>
      </c>
      <c r="G78">
        <v>100</v>
      </c>
      <c r="H78">
        <v>34.200000000000003</v>
      </c>
      <c r="I78">
        <v>25.1</v>
      </c>
      <c r="J78">
        <v>25.4</v>
      </c>
      <c r="K78">
        <v>26</v>
      </c>
    </row>
    <row r="79" spans="1:24">
      <c r="A79">
        <f t="shared" si="19"/>
        <v>10</v>
      </c>
      <c r="B79">
        <f t="shared" si="18"/>
        <v>12.909629614218806</v>
      </c>
      <c r="C79" s="197">
        <f t="shared" si="20"/>
        <v>1140.8956494042677</v>
      </c>
      <c r="D79" s="197">
        <f t="shared" si="21"/>
        <v>3261.3815656713023</v>
      </c>
      <c r="E79" s="198">
        <f t="shared" si="23"/>
        <v>1.7530087007031046E-4</v>
      </c>
      <c r="F79" s="197">
        <f t="shared" si="22"/>
        <v>1.9414995536992166</v>
      </c>
      <c r="G79" s="179">
        <v>150</v>
      </c>
      <c r="H79" s="179">
        <v>33.700000000000003</v>
      </c>
      <c r="I79" s="179">
        <v>24.9</v>
      </c>
      <c r="J79" s="179">
        <v>25.1</v>
      </c>
      <c r="K79" s="179">
        <v>25.5</v>
      </c>
    </row>
    <row r="80" spans="1:24">
      <c r="A80">
        <f t="shared" si="19"/>
        <v>11</v>
      </c>
      <c r="B80">
        <f t="shared" si="18"/>
        <v>12.505936542827726</v>
      </c>
      <c r="C80" s="3">
        <f t="shared" si="20"/>
        <v>1521.1941992056904</v>
      </c>
      <c r="D80" s="3">
        <f t="shared" si="21"/>
        <v>3588.5570125886597</v>
      </c>
      <c r="E80" s="196">
        <f t="shared" si="23"/>
        <v>1.7530087007031046E-4</v>
      </c>
      <c r="F80" s="3">
        <f t="shared" si="22"/>
        <v>1.7644894123128401</v>
      </c>
      <c r="G80">
        <v>200</v>
      </c>
      <c r="H80">
        <v>33.200000000000003</v>
      </c>
      <c r="I80">
        <v>24.7</v>
      </c>
      <c r="J80">
        <v>25.1</v>
      </c>
      <c r="K80">
        <v>25.3</v>
      </c>
    </row>
    <row r="81" spans="1:11">
      <c r="A81">
        <f t="shared" si="19"/>
        <v>12</v>
      </c>
      <c r="B81">
        <f t="shared" si="18"/>
        <v>12.148426593872461</v>
      </c>
      <c r="C81" s="3">
        <f t="shared" si="20"/>
        <v>2129.6718788879666</v>
      </c>
      <c r="D81" s="3">
        <f t="shared" si="21"/>
        <v>3949.1921599438856</v>
      </c>
      <c r="E81" s="196">
        <f t="shared" si="23"/>
        <v>1.7530087007031046E-4</v>
      </c>
      <c r="F81" s="3">
        <f t="shared" si="22"/>
        <v>1.603358509220695</v>
      </c>
      <c r="G81">
        <v>280</v>
      </c>
      <c r="H81">
        <v>32.5</v>
      </c>
      <c r="I81">
        <v>24.6</v>
      </c>
      <c r="J81">
        <v>24.7</v>
      </c>
      <c r="K81">
        <v>24.9</v>
      </c>
    </row>
    <row r="82" spans="1:11">
      <c r="A82">
        <f t="shared" si="19"/>
        <v>13</v>
      </c>
      <c r="B82">
        <f t="shared" si="18"/>
        <v>11.828581463075288</v>
      </c>
      <c r="C82" s="3">
        <f t="shared" si="20"/>
        <v>3802.9854980142259</v>
      </c>
      <c r="D82" s="3">
        <f t="shared" si="21"/>
        <v>4759.3656406027549</v>
      </c>
      <c r="E82" s="196">
        <f t="shared" si="23"/>
        <v>1.7530087007031046E-4</v>
      </c>
      <c r="F82" s="3">
        <f t="shared" si="22"/>
        <v>1.3304232816606556</v>
      </c>
      <c r="G82">
        <v>500</v>
      </c>
      <c r="H82">
        <v>24.4</v>
      </c>
      <c r="I82">
        <v>24.6</v>
      </c>
      <c r="J82">
        <v>24.6</v>
      </c>
      <c r="K82">
        <v>24.3</v>
      </c>
    </row>
    <row r="83" spans="1:11">
      <c r="A83">
        <f t="shared" si="19"/>
        <v>14</v>
      </c>
      <c r="B83">
        <f t="shared" si="18"/>
        <v>11.539963561880459</v>
      </c>
    </row>
    <row r="84" spans="1:11">
      <c r="A84">
        <f t="shared" si="19"/>
        <v>15</v>
      </c>
      <c r="B84">
        <f t="shared" si="18"/>
        <v>11.277600253204998</v>
      </c>
    </row>
    <row r="85" spans="1:11">
      <c r="A85">
        <f t="shared" si="19"/>
        <v>16</v>
      </c>
      <c r="B85">
        <f t="shared" si="18"/>
        <v>11.037578077702006</v>
      </c>
    </row>
    <row r="86" spans="1:11">
      <c r="A86">
        <f t="shared" si="19"/>
        <v>17</v>
      </c>
      <c r="B86">
        <f t="shared" si="18"/>
        <v>10.81676702644241</v>
      </c>
    </row>
    <row r="87" spans="1:11">
      <c r="A87">
        <f t="shared" si="19"/>
        <v>18</v>
      </c>
      <c r="B87">
        <f t="shared" si="18"/>
        <v>10.612628164033419</v>
      </c>
    </row>
    <row r="88" spans="1:11">
      <c r="A88">
        <f t="shared" si="19"/>
        <v>19</v>
      </c>
      <c r="B88">
        <f t="shared" si="18"/>
        <v>10.423076282074469</v>
      </c>
    </row>
    <row r="89" spans="1:11">
      <c r="A89">
        <f t="shared" si="19"/>
        <v>20</v>
      </c>
      <c r="B89">
        <f t="shared" si="18"/>
        <v>10.246379838739543</v>
      </c>
    </row>
    <row r="90" spans="1:11">
      <c r="A90">
        <f t="shared" si="19"/>
        <v>21</v>
      </c>
      <c r="B90">
        <f t="shared" si="18"/>
        <v>10.081086745052579</v>
      </c>
    </row>
    <row r="91" spans="1:11">
      <c r="A91">
        <f t="shared" si="19"/>
        <v>22</v>
      </c>
      <c r="B91">
        <f t="shared" si="18"/>
        <v>9.9259684348999979</v>
      </c>
    </row>
    <row r="92" spans="1:11">
      <c r="A92">
        <f t="shared" si="19"/>
        <v>23</v>
      </c>
      <c r="B92">
        <f t="shared" si="18"/>
        <v>9.7799771053308877</v>
      </c>
    </row>
    <row r="93" spans="1:11">
      <c r="A93">
        <f t="shared" si="19"/>
        <v>24</v>
      </c>
      <c r="B93">
        <f t="shared" si="18"/>
        <v>9.6422125997140391</v>
      </c>
    </row>
    <row r="94" spans="1:11">
      <c r="A94">
        <f t="shared" si="19"/>
        <v>25</v>
      </c>
      <c r="B94">
        <f t="shared" si="18"/>
        <v>9.5118964559647754</v>
      </c>
    </row>
    <row r="95" spans="1:11">
      <c r="A95">
        <f t="shared" si="19"/>
        <v>26</v>
      </c>
      <c r="B95">
        <f t="shared" si="18"/>
        <v>9.3883513505803275</v>
      </c>
    </row>
    <row r="96" spans="1:11">
      <c r="A96">
        <f t="shared" si="19"/>
        <v>27</v>
      </c>
      <c r="B96">
        <f t="shared" si="18"/>
        <v>9.2709846561400511</v>
      </c>
    </row>
    <row r="97" spans="1:2">
      <c r="A97">
        <f t="shared" si="19"/>
        <v>28</v>
      </c>
      <c r="B97">
        <f t="shared" si="18"/>
        <v>9.1592751700642836</v>
      </c>
    </row>
    <row r="98" spans="1:2">
      <c r="A98">
        <f t="shared" si="19"/>
        <v>29</v>
      </c>
      <c r="B98">
        <f t="shared" si="18"/>
        <v>9.052762313612071</v>
      </c>
    </row>
    <row r="99" spans="1:2">
      <c r="A99">
        <f t="shared" si="19"/>
        <v>30</v>
      </c>
      <c r="B99">
        <f t="shared" si="18"/>
        <v>8.9510372734885149</v>
      </c>
    </row>
    <row r="100" spans="1:2">
      <c r="A100">
        <f t="shared" si="19"/>
        <v>31</v>
      </c>
      <c r="B100">
        <f t="shared" si="18"/>
        <v>8.8537356846758719</v>
      </c>
    </row>
    <row r="101" spans="1:2">
      <c r="A101">
        <f t="shared" si="19"/>
        <v>32</v>
      </c>
      <c r="B101">
        <f t="shared" si="18"/>
        <v>8.7605315461037758</v>
      </c>
    </row>
    <row r="102" spans="1:2">
      <c r="A102">
        <f t="shared" si="19"/>
        <v>33</v>
      </c>
      <c r="B102">
        <f t="shared" si="18"/>
        <v>8.671132130037245</v>
      </c>
    </row>
    <row r="103" spans="1:2">
      <c r="A103">
        <f t="shared" si="19"/>
        <v>34</v>
      </c>
      <c r="B103">
        <f t="shared" si="18"/>
        <v>8.5852736981710009</v>
      </c>
    </row>
    <row r="104" spans="1:2">
      <c r="A104">
        <f t="shared" si="19"/>
        <v>35</v>
      </c>
      <c r="B104">
        <f t="shared" si="18"/>
        <v>8.502717876995856</v>
      </c>
    </row>
    <row r="105" spans="1:2">
      <c r="A105">
        <f t="shared" si="19"/>
        <v>36</v>
      </c>
      <c r="B105">
        <f t="shared" si="18"/>
        <v>8.4232485753288326</v>
      </c>
    </row>
    <row r="106" spans="1:2">
      <c r="A106">
        <f t="shared" si="19"/>
        <v>37</v>
      </c>
      <c r="B106">
        <f t="shared" si="18"/>
        <v>8.3466693503294298</v>
      </c>
    </row>
    <row r="107" spans="1:2">
      <c r="A107">
        <f t="shared" si="19"/>
        <v>38</v>
      </c>
      <c r="B107">
        <f t="shared" si="18"/>
        <v>8.2728011465691296</v>
      </c>
    </row>
    <row r="108" spans="1:2">
      <c r="A108">
        <f t="shared" si="19"/>
        <v>39</v>
      </c>
      <c r="B108">
        <f t="shared" si="18"/>
        <v>8.2014803470323372</v>
      </c>
    </row>
    <row r="109" spans="1:2">
      <c r="A109">
        <f t="shared" si="19"/>
        <v>40</v>
      </c>
      <c r="B109">
        <f t="shared" si="18"/>
        <v>8.132557086230646</v>
      </c>
    </row>
    <row r="110" spans="1:2">
      <c r="B110" s="113">
        <f>SUM(B70:B109)/40</f>
        <v>11.623550764194704</v>
      </c>
    </row>
  </sheetData>
  <mergeCells count="5">
    <mergeCell ref="G13:K13"/>
    <mergeCell ref="A14:B14"/>
    <mergeCell ref="F14:G16"/>
    <mergeCell ref="H14:K16"/>
    <mergeCell ref="C18:H18"/>
  </mergeCells>
  <pageMargins left="0" right="0" top="0" bottom="0" header="0" footer="0"/>
  <pageSetup paperSize="17" scale="48" orientation="landscape" r:id="rId1"/>
  <headerFooter alignWithMargins="0"/>
  <drawing r:id="rId2"/>
  <legacyDrawing r:id="rId3"/>
  <oleObjects>
    <oleObject progId="Equation.3" shapeId="23553" r:id="rId4"/>
    <oleObject progId="Equation.3" shapeId="23554" r:id="rId5"/>
    <oleObject progId="Equation.3" shapeId="23559" r:id="rId6"/>
  </oleObject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O63"/>
  <sheetViews>
    <sheetView topLeftCell="A25" workbookViewId="0">
      <selection activeCell="A39" sqref="A39"/>
    </sheetView>
  </sheetViews>
  <sheetFormatPr defaultRowHeight="12.75"/>
  <cols>
    <col min="1" max="1" width="33.140625" customWidth="1"/>
    <col min="2" max="2" width="16" customWidth="1"/>
    <col min="3" max="3" width="17.42578125" customWidth="1"/>
    <col min="4" max="4" width="15.140625" customWidth="1"/>
    <col min="5" max="5" width="10.5703125" customWidth="1"/>
    <col min="6" max="6" width="15.28515625" customWidth="1"/>
    <col min="7" max="7" width="24.5703125" customWidth="1"/>
    <col min="8" max="8" width="11.42578125" customWidth="1"/>
    <col min="10" max="10" width="12.140625" customWidth="1"/>
    <col min="11" max="11" width="15.28515625" customWidth="1"/>
    <col min="15" max="15" width="12" bestFit="1" customWidth="1"/>
  </cols>
  <sheetData>
    <row r="2" spans="1:11">
      <c r="A2" t="s">
        <v>69</v>
      </c>
      <c r="B2">
        <v>2.0699999999999998</v>
      </c>
    </row>
    <row r="3" spans="1:11">
      <c r="A3" t="s">
        <v>39</v>
      </c>
      <c r="B3">
        <v>4</v>
      </c>
    </row>
    <row r="4" spans="1:11">
      <c r="A4" t="s">
        <v>40</v>
      </c>
      <c r="B4">
        <v>9</v>
      </c>
    </row>
    <row r="5" spans="1:11">
      <c r="A5" t="s">
        <v>102</v>
      </c>
      <c r="B5">
        <f>2*B4+B3</f>
        <v>22</v>
      </c>
    </row>
    <row r="6" spans="1:11">
      <c r="A6" t="s">
        <v>103</v>
      </c>
      <c r="B6">
        <f>B5*B2</f>
        <v>45.54</v>
      </c>
    </row>
    <row r="7" spans="1:11">
      <c r="A7" t="s">
        <v>41</v>
      </c>
      <c r="B7">
        <v>6</v>
      </c>
    </row>
    <row r="8" spans="1:11" ht="20.25">
      <c r="A8" t="s">
        <v>65</v>
      </c>
      <c r="B8">
        <f>B7*B6</f>
        <v>273.24</v>
      </c>
    </row>
    <row r="9" spans="1:11">
      <c r="A9" t="s">
        <v>42</v>
      </c>
      <c r="B9">
        <v>4</v>
      </c>
    </row>
    <row r="10" spans="1:11">
      <c r="A10" t="s">
        <v>43</v>
      </c>
      <c r="B10">
        <f>B9*B8</f>
        <v>1092.96</v>
      </c>
    </row>
    <row r="11" spans="1:11" ht="28.5">
      <c r="A11" s="1" t="s">
        <v>75</v>
      </c>
      <c r="B11">
        <v>40</v>
      </c>
    </row>
    <row r="12" spans="1:11">
      <c r="A12" t="s">
        <v>116</v>
      </c>
      <c r="B12">
        <v>3.67</v>
      </c>
    </row>
    <row r="13" spans="1:11" ht="42" customHeight="1">
      <c r="A13" s="1" t="s">
        <v>53</v>
      </c>
      <c r="B13">
        <v>12</v>
      </c>
      <c r="C13" t="str">
        <f>CONCATENATE("=",B13*(39.37/12)," feet")</f>
        <v>=39.37 feet</v>
      </c>
      <c r="F13" s="10" t="s">
        <v>73</v>
      </c>
      <c r="G13" s="277"/>
      <c r="H13" s="277"/>
      <c r="I13" s="277"/>
      <c r="J13" s="277"/>
      <c r="K13" s="277"/>
    </row>
    <row r="14" spans="1:11" ht="25.5" customHeight="1">
      <c r="A14" s="279" t="s">
        <v>44</v>
      </c>
      <c r="B14" s="279"/>
      <c r="F14" s="280" t="s">
        <v>72</v>
      </c>
      <c r="G14" s="280"/>
      <c r="H14" s="277"/>
      <c r="I14" s="277"/>
      <c r="J14" s="277"/>
      <c r="K14" s="277"/>
    </row>
    <row r="15" spans="1:11" ht="14.25">
      <c r="A15" t="s">
        <v>47</v>
      </c>
      <c r="B15">
        <v>3.96</v>
      </c>
      <c r="F15" s="280"/>
      <c r="G15" s="280"/>
      <c r="H15" s="277"/>
      <c r="I15" s="277"/>
      <c r="J15" s="277"/>
      <c r="K15" s="277"/>
    </row>
    <row r="16" spans="1:11">
      <c r="A16" t="s">
        <v>50</v>
      </c>
      <c r="B16" s="3">
        <v>9400</v>
      </c>
      <c r="F16" s="280"/>
      <c r="G16" s="280"/>
      <c r="H16" s="277"/>
      <c r="I16" s="277"/>
      <c r="J16" s="277"/>
      <c r="K16" s="277"/>
    </row>
    <row r="17" spans="1:15" ht="38.25">
      <c r="A17" s="1" t="s">
        <v>54</v>
      </c>
      <c r="B17">
        <f>((LN(B16)*1.58)-3.28)^-2</f>
        <v>8.0082569225882749E-3</v>
      </c>
      <c r="D17" s="36" t="s">
        <v>77</v>
      </c>
    </row>
    <row r="18" spans="1:15" ht="25.5" customHeight="1" thickBot="1">
      <c r="C18" s="281" t="s">
        <v>104</v>
      </c>
      <c r="D18" s="281"/>
      <c r="E18" s="281"/>
      <c r="F18" s="281"/>
      <c r="G18" s="281"/>
      <c r="H18" s="282"/>
    </row>
    <row r="19" spans="1:15" ht="57.75" thickTop="1">
      <c r="A19" s="27" t="s">
        <v>46</v>
      </c>
      <c r="B19" s="28" t="s">
        <v>48</v>
      </c>
      <c r="C19" s="29" t="s">
        <v>66</v>
      </c>
      <c r="D19" s="29" t="s">
        <v>101</v>
      </c>
      <c r="E19" s="29" t="s">
        <v>49</v>
      </c>
      <c r="F19" s="29" t="s">
        <v>51</v>
      </c>
      <c r="G19" s="29" t="s">
        <v>52</v>
      </c>
      <c r="H19" s="29" t="s">
        <v>67</v>
      </c>
      <c r="I19" s="29" t="s">
        <v>55</v>
      </c>
      <c r="J19" s="29" t="s">
        <v>63</v>
      </c>
      <c r="K19" s="13" t="s">
        <v>62</v>
      </c>
      <c r="L19" s="14" t="s">
        <v>64</v>
      </c>
    </row>
    <row r="20" spans="1:15">
      <c r="A20" s="15" t="s">
        <v>37</v>
      </c>
      <c r="B20" s="16">
        <f>'mat properties'!P22</f>
        <v>4.1813000000000002</v>
      </c>
      <c r="C20" s="16">
        <f>'mat properties'!P5</f>
        <v>1</v>
      </c>
      <c r="D20" s="16">
        <f>$B$6/(B20*$B$15)</f>
        <v>2.7503408030995145</v>
      </c>
      <c r="E20" s="16">
        <f>D20/C20</f>
        <v>2.7503408030995145</v>
      </c>
      <c r="F20" s="17">
        <f>'mat properties'!P24</f>
        <v>1.0020000000000001E-3</v>
      </c>
      <c r="G20" s="17">
        <f>(4*D20)/(PI()*F20*$B$16)</f>
        <v>0.37179286873115125</v>
      </c>
      <c r="H20" s="16">
        <f>'mat properties'!P21</f>
        <v>0.59699999999999998</v>
      </c>
      <c r="I20" s="16">
        <f>'mat properties'!P26</f>
        <v>7.02</v>
      </c>
      <c r="J20" s="18">
        <f>(4*E20)/(PI()*(G20^2))</f>
        <v>25.333460623234465</v>
      </c>
      <c r="K20" s="19">
        <f>C20*(J20^2)*($B$17/2)*(4/G20)*1000000</f>
        <v>27647507.050976891</v>
      </c>
      <c r="L20" s="20">
        <f>(K20*0.000145038)/3.28</f>
        <v>1222.5424169693863</v>
      </c>
    </row>
    <row r="21" spans="1:15">
      <c r="A21" s="15" t="s">
        <v>38</v>
      </c>
      <c r="B21" s="16">
        <f>'mat properties'!R22</f>
        <v>2.44</v>
      </c>
      <c r="C21" s="16">
        <f>'mat properties'!R5</f>
        <v>0.78900000000000003</v>
      </c>
      <c r="D21" s="16">
        <f>$B$6/(B21*$B$15)</f>
        <v>4.7131147540983607</v>
      </c>
      <c r="E21" s="16">
        <f>D21/C21</f>
        <v>5.9735294728749819</v>
      </c>
      <c r="F21" s="17">
        <f>'mat properties'!R24</f>
        <v>1.0740000000000001E-3</v>
      </c>
      <c r="G21" s="17">
        <f>(4*D21)/(PI()*F21*$B$16)</f>
        <v>0.59440985021125792</v>
      </c>
      <c r="H21" s="16">
        <f>'mat properties'!R21</f>
        <v>0.16900000000000001</v>
      </c>
      <c r="I21" s="16">
        <f>'mat properties'!R26</f>
        <v>15.506272189349113</v>
      </c>
      <c r="J21" s="18">
        <f>(4*E21)/(PI()*(G21^2))</f>
        <v>21.526287388760156</v>
      </c>
      <c r="K21" s="19">
        <f>C21*(J21^2)*($B$17/2)*(4/G21)*1000000</f>
        <v>9851384.436752161</v>
      </c>
      <c r="L21" s="20">
        <f>(K21*0.000145038)/3.28</f>
        <v>435.61740729806706</v>
      </c>
    </row>
    <row r="22" spans="1:15" ht="13.5" thickBot="1">
      <c r="A22" s="21" t="s">
        <v>33</v>
      </c>
      <c r="B22" s="22">
        <f>'mat properties'!Q22</f>
        <v>1.1000000000000001</v>
      </c>
      <c r="C22" s="22">
        <f>'mat properties'!Q5</f>
        <v>1.73</v>
      </c>
      <c r="D22" s="16">
        <f>$B$6/(B22*$B$15)</f>
        <v>10.454545454545455</v>
      </c>
      <c r="E22" s="22">
        <f>D22/C22</f>
        <v>6.0430898581187602</v>
      </c>
      <c r="F22" s="23">
        <f>'mat properties'!Q24</f>
        <v>9.5149999999999998E-4</v>
      </c>
      <c r="G22" s="23">
        <f>(4*D22)/(PI()*F22*$B$16)</f>
        <v>1.4882593771266557</v>
      </c>
      <c r="H22" s="22">
        <f>'mat properties'!Q21</f>
        <v>0.06</v>
      </c>
      <c r="I22" s="22">
        <f>'mat properties'!Q26</f>
        <v>17.444166666666668</v>
      </c>
      <c r="J22" s="24">
        <f>(4*E22)/(PI()*(G22^2))</f>
        <v>3.4738568286272695</v>
      </c>
      <c r="K22" s="25">
        <f>C22*(J22^2)*($B$17/2)*(4/G22)*1000000</f>
        <v>224677.35368255337</v>
      </c>
      <c r="L22" s="26">
        <f>(K22*0.000145038)/3.28</f>
        <v>9.9349859827470048</v>
      </c>
      <c r="M22" t="s">
        <v>105</v>
      </c>
    </row>
    <row r="23" spans="1:15" ht="13.5" thickTop="1"/>
    <row r="24" spans="1:15" ht="16.5" thickBot="1">
      <c r="C24" s="55" t="s">
        <v>83</v>
      </c>
      <c r="D24" s="55"/>
      <c r="E24" s="55"/>
      <c r="F24" s="55"/>
      <c r="G24" s="55"/>
    </row>
    <row r="25" spans="1:15" ht="57.75" thickTop="1">
      <c r="A25" s="30" t="s">
        <v>46</v>
      </c>
      <c r="B25" s="31" t="s">
        <v>48</v>
      </c>
      <c r="C25" s="32" t="s">
        <v>66</v>
      </c>
      <c r="D25" s="32" t="s">
        <v>78</v>
      </c>
      <c r="E25" s="32" t="s">
        <v>49</v>
      </c>
      <c r="F25" s="32" t="s">
        <v>51</v>
      </c>
      <c r="G25" s="33" t="s">
        <v>76</v>
      </c>
      <c r="H25" s="32" t="s">
        <v>67</v>
      </c>
      <c r="I25" s="32" t="s">
        <v>55</v>
      </c>
      <c r="J25" s="32" t="s">
        <v>63</v>
      </c>
      <c r="K25" s="13" t="s">
        <v>62</v>
      </c>
      <c r="L25" s="14" t="s">
        <v>64</v>
      </c>
      <c r="M25" s="37" t="s">
        <v>79</v>
      </c>
      <c r="N25" s="38" t="s">
        <v>115</v>
      </c>
      <c r="O25" s="64" t="s">
        <v>135</v>
      </c>
    </row>
    <row r="26" spans="1:15" ht="27" customHeight="1">
      <c r="A26" s="15" t="s">
        <v>37</v>
      </c>
      <c r="B26" s="16">
        <f>'mat properties'!P22</f>
        <v>4.1813000000000002</v>
      </c>
      <c r="C26" s="16">
        <f>'mat properties'!P5</f>
        <v>1</v>
      </c>
      <c r="D26" s="16">
        <f>(G26*F26*$B$16*PI())/4</f>
        <v>20.639047937728002</v>
      </c>
      <c r="E26" s="16">
        <f>D26/C26</f>
        <v>20.639047937728002</v>
      </c>
      <c r="F26" s="17">
        <f>'mat properties'!P24</f>
        <v>1.0020000000000001E-3</v>
      </c>
      <c r="G26" s="34">
        <v>2.79</v>
      </c>
      <c r="H26" s="16">
        <f>'mat properties'!P21</f>
        <v>0.59699999999999998</v>
      </c>
      <c r="I26" s="17">
        <f>'mat properties'!P26</f>
        <v>7.02</v>
      </c>
      <c r="J26" s="18">
        <f>(4*E26)/(PI()*(G26^2))</f>
        <v>3.3759139784946233</v>
      </c>
      <c r="K26" s="19">
        <f>C26*(J26^2)*($B$17/2)*(4/G26)*1000000</f>
        <v>65425.422205880306</v>
      </c>
      <c r="L26" s="20">
        <f>(K26*0.000145038)/3.28</f>
        <v>2.8930403615538016</v>
      </c>
      <c r="M26">
        <f>D26*B26*$B$15</f>
        <v>341.74028252240754</v>
      </c>
      <c r="N26" s="63">
        <f>K26*$B$12*0.00014503</f>
        <v>34.823341765844077</v>
      </c>
      <c r="O26">
        <f>$B$6/(D26*B26)</f>
        <v>0.52770600723131145</v>
      </c>
    </row>
    <row r="27" spans="1:15" ht="22.5" customHeight="1">
      <c r="A27" s="15" t="s">
        <v>38</v>
      </c>
      <c r="B27" s="16">
        <f>'mat properties'!R22</f>
        <v>2.44</v>
      </c>
      <c r="C27" s="16">
        <f>'mat properties'!R5</f>
        <v>0.78900000000000003</v>
      </c>
      <c r="D27" s="16">
        <f>(G27*F27*$B$16*PI())/4</f>
        <v>22.122093298522831</v>
      </c>
      <c r="E27" s="16">
        <f>D27/C27</f>
        <v>28.038141062766577</v>
      </c>
      <c r="F27" s="17">
        <f>'mat properties'!R24</f>
        <v>1.0740000000000001E-3</v>
      </c>
      <c r="G27" s="34">
        <v>2.79</v>
      </c>
      <c r="H27" s="16">
        <f>'mat properties'!R21</f>
        <v>0.16900000000000001</v>
      </c>
      <c r="I27" s="16">
        <f>'mat properties'!R26</f>
        <v>15.506272189349113</v>
      </c>
      <c r="J27" s="18">
        <f>(4*E27)/(PI()*(G27^2))</f>
        <v>4.5861782302356326</v>
      </c>
      <c r="K27" s="19">
        <f>C27*(J27^2)*($B$17/2)*(4/G27)*1000000</f>
        <v>95267.035333427397</v>
      </c>
      <c r="L27" s="20">
        <f>(K27*0.000145038)/3.28</f>
        <v>4.2126037410639157</v>
      </c>
      <c r="M27">
        <f>D27*B27*$B$15</f>
        <v>213.75251428764699</v>
      </c>
      <c r="N27" s="63">
        <f>K27*$B$12*0.00014503</f>
        <v>50.706841753273608</v>
      </c>
      <c r="O27">
        <f>$B$6/(D27*B27)</f>
        <v>0.8436784970740433</v>
      </c>
    </row>
    <row r="28" spans="1:15" ht="32.25" customHeight="1" thickBot="1">
      <c r="A28" s="21" t="s">
        <v>273</v>
      </c>
      <c r="B28" s="22">
        <f>'mat properties'!Q22</f>
        <v>1.1000000000000001</v>
      </c>
      <c r="C28" s="22">
        <f>'mat properties'!Q5</f>
        <v>1.73</v>
      </c>
      <c r="D28" s="16">
        <f>(G28*F28*$B$16*PI())/4</f>
        <v>19.598856399948296</v>
      </c>
      <c r="E28" s="22">
        <f>D28/C28</f>
        <v>11.328818728293813</v>
      </c>
      <c r="F28" s="23">
        <f>'mat properties'!Q24</f>
        <v>9.5149999999999998E-4</v>
      </c>
      <c r="G28" s="35">
        <v>2.79</v>
      </c>
      <c r="H28" s="22">
        <f>'mat properties'!Q21</f>
        <v>0.06</v>
      </c>
      <c r="I28" s="22">
        <f>'mat properties'!Q26</f>
        <v>17.444166666666668</v>
      </c>
      <c r="J28" s="24">
        <f>(4*E28)/(PI()*(G28^2))</f>
        <v>1.8530465949820787</v>
      </c>
      <c r="K28" s="25">
        <f>C28*(J28^2)*($B$17/2)*(4/G28)*1000000</f>
        <v>34102.213811789916</v>
      </c>
      <c r="L28" s="26">
        <f>(K28*0.000145038)/3.28</f>
        <v>1.5079624654982886</v>
      </c>
      <c r="M28">
        <f>D28*B28*$B$15</f>
        <v>85.372618478174786</v>
      </c>
      <c r="N28" s="63">
        <f>K28*$B$12*0.00014503</f>
        <v>18.151247733684681</v>
      </c>
      <c r="O28">
        <f>$B$6/(D28*B28)</f>
        <v>2.1123681481797689</v>
      </c>
    </row>
    <row r="29" spans="1:15" ht="14.25" thickTop="1" thickBot="1">
      <c r="J29">
        <f>J28*3.28</f>
        <v>6.0779928315412182</v>
      </c>
      <c r="K29" t="s">
        <v>134</v>
      </c>
    </row>
    <row r="30" spans="1:15" ht="55.5" thickTop="1">
      <c r="A30" s="11" t="s">
        <v>46</v>
      </c>
      <c r="B30" s="12" t="s">
        <v>74</v>
      </c>
      <c r="C30" s="40" t="s">
        <v>84</v>
      </c>
      <c r="D30" s="39" t="s">
        <v>81</v>
      </c>
      <c r="E30" s="54"/>
      <c r="F30" s="54"/>
      <c r="G30" s="54"/>
      <c r="K30" s="1" t="s">
        <v>149</v>
      </c>
      <c r="L30">
        <v>8</v>
      </c>
    </row>
    <row r="31" spans="1:15" ht="51">
      <c r="A31" s="15" t="s">
        <v>37</v>
      </c>
      <c r="B31" s="16">
        <f>(($B$17/2)*$B$16*I20)/(1.07+(12.7*(($B$17/2)^0.5))*((I20^0.6666)-1))</f>
        <v>82.253416858672949</v>
      </c>
      <c r="C31" s="41">
        <f>(1+(G26/$B$11)^0.7)*B31</f>
        <v>95.007078658295896</v>
      </c>
      <c r="D31" s="39" t="s">
        <v>82</v>
      </c>
      <c r="E31" s="54"/>
      <c r="F31" s="54"/>
      <c r="G31" s="54"/>
      <c r="K31" s="1" t="s">
        <v>150</v>
      </c>
      <c r="L31">
        <f>L30*(C26/C28)^0.5</f>
        <v>6.0822873701576441</v>
      </c>
    </row>
    <row r="32" spans="1:15">
      <c r="A32" s="15" t="s">
        <v>38</v>
      </c>
      <c r="B32" s="16">
        <f>(($B$17/2)*$B$16*I21)/(1.07+(12.7*(($B$17/2)^0.5))*((I21^0.6666)-1))</f>
        <v>110.90113377637714</v>
      </c>
      <c r="C32" s="41">
        <f>(1+(G27/$B$11)^0.7)*B32</f>
        <v>128.09671795264128</v>
      </c>
      <c r="E32" s="54"/>
      <c r="F32" s="54"/>
      <c r="G32" s="54"/>
    </row>
    <row r="33" spans="1:6" ht="13.5" thickBot="1">
      <c r="A33" s="21" t="s">
        <v>33</v>
      </c>
      <c r="B33" s="22">
        <f>(($B$17/2)*$B$16*I22)/(1.07+(12.7*(($B$17/2)^0.5))*((I22^0.6666)-1))</f>
        <v>115.78431403455362</v>
      </c>
      <c r="C33" s="42">
        <f>(1+(G28/$B$11)^0.7)*B33</f>
        <v>133.73705131032224</v>
      </c>
    </row>
    <row r="34" spans="1:6" ht="14.25" thickTop="1" thickBot="1"/>
    <row r="35" spans="1:6" ht="27.75" thickTop="1">
      <c r="A35" s="11" t="s">
        <v>46</v>
      </c>
      <c r="B35" s="1" t="s">
        <v>87</v>
      </c>
    </row>
    <row r="36" spans="1:6">
      <c r="A36" s="15" t="s">
        <v>37</v>
      </c>
      <c r="B36">
        <f>(C31*H26*1000)/G26</f>
        <v>20329.471669893424</v>
      </c>
    </row>
    <row r="37" spans="1:6">
      <c r="A37" s="15" t="s">
        <v>38</v>
      </c>
      <c r="B37">
        <f>(C32*H27*1000)/G27</f>
        <v>7759.263560572178</v>
      </c>
    </row>
    <row r="38" spans="1:6" ht="25.5" customHeight="1" thickBot="1">
      <c r="A38" s="44" t="s">
        <v>273</v>
      </c>
      <c r="B38" s="43">
        <f>(C33*H28*1000)/G28</f>
        <v>2876.0656195768224</v>
      </c>
      <c r="C38" s="45" t="s">
        <v>88</v>
      </c>
      <c r="D38" s="45"/>
      <c r="E38" s="45"/>
      <c r="F38" s="45"/>
    </row>
    <row r="39" spans="1:6" ht="13.5" thickTop="1">
      <c r="A39" s="119" t="s">
        <v>525</v>
      </c>
      <c r="B39">
        <v>0.2</v>
      </c>
    </row>
    <row r="40" spans="1:6" ht="14.25">
      <c r="A40" s="119" t="s">
        <v>526</v>
      </c>
      <c r="B40" s="47">
        <f>(B11*5.3)/1000000</f>
        <v>2.12E-4</v>
      </c>
    </row>
    <row r="41" spans="1:6" ht="14.25">
      <c r="A41" s="119" t="s">
        <v>527</v>
      </c>
      <c r="B41">
        <f>(B2*B39)/('mat properties'!X21*1000*thermal_fdc!B40)</f>
        <v>2.4410377358490565</v>
      </c>
    </row>
    <row r="42" spans="1:6" ht="14.25">
      <c r="A42" s="48" t="s">
        <v>92</v>
      </c>
      <c r="B42" s="47">
        <f>(B11*2.5)/1000000</f>
        <v>1E-4</v>
      </c>
    </row>
    <row r="43" spans="1:6">
      <c r="A43" s="48" t="s">
        <v>93</v>
      </c>
      <c r="B43">
        <v>3.0000000000000001E-3</v>
      </c>
    </row>
    <row r="44" spans="1:6" ht="14.25">
      <c r="A44" s="46" t="s">
        <v>94</v>
      </c>
      <c r="B44">
        <f>(B2*B43)/('mat properties'!H21*thermal_fdc!B42)</f>
        <v>0.39056603773584897</v>
      </c>
    </row>
    <row r="45" spans="1:6" ht="14.25">
      <c r="A45" s="46" t="s">
        <v>96</v>
      </c>
      <c r="B45" s="3">
        <f>(PI()*G28*B11)/2000000</f>
        <v>1.7530087007031046E-4</v>
      </c>
    </row>
    <row r="46" spans="1:6" ht="15" thickBot="1">
      <c r="A46" s="46" t="s">
        <v>95</v>
      </c>
      <c r="B46" s="3">
        <f>B2/(B38*B45)</f>
        <v>4.1057025580214717</v>
      </c>
    </row>
    <row r="47" spans="1:6" ht="22.5" thickTop="1" thickBot="1">
      <c r="A47" s="49" t="s">
        <v>97</v>
      </c>
      <c r="B47" s="50">
        <f>B41+B44+B46</f>
        <v>6.9373063316063774</v>
      </c>
    </row>
    <row r="48" spans="1:6" ht="22.5" customHeight="1" thickTop="1">
      <c r="A48" s="158" t="s">
        <v>529</v>
      </c>
      <c r="B48" s="157">
        <v>22</v>
      </c>
    </row>
    <row r="49" spans="1:13" ht="27">
      <c r="A49" s="204" t="s">
        <v>528</v>
      </c>
      <c r="B49" s="157">
        <f>B48+O28</f>
        <v>24.112368148179769</v>
      </c>
    </row>
    <row r="50" spans="1:13" ht="13.5" thickBot="1"/>
    <row r="51" spans="1:13" ht="20.25" thickTop="1" thickBot="1">
      <c r="A51" s="52" t="s">
        <v>372</v>
      </c>
      <c r="B51" s="53">
        <f>B49+B47</f>
        <v>31.049674479786148</v>
      </c>
      <c r="C51" s="66">
        <f>(9/5*B51)+32</f>
        <v>87.889414063615078</v>
      </c>
      <c r="D51" s="51" t="s">
        <v>148</v>
      </c>
    </row>
    <row r="52" spans="1:13" ht="13.5" thickTop="1">
      <c r="A52" s="46" t="s">
        <v>136</v>
      </c>
      <c r="B52" s="63">
        <f>G28</f>
        <v>2.79</v>
      </c>
    </row>
    <row r="53" spans="1:13">
      <c r="A53" s="46" t="s">
        <v>137</v>
      </c>
      <c r="B53">
        <v>4.0599999999999996</v>
      </c>
    </row>
    <row r="54" spans="1:13">
      <c r="A54" s="46" t="s">
        <v>138</v>
      </c>
      <c r="B54">
        <v>4.1110000000000001E-2</v>
      </c>
    </row>
    <row r="55" spans="1:13">
      <c r="A55" s="46" t="s">
        <v>139</v>
      </c>
      <c r="B55">
        <f>(B12*3.28*B54)/2.205</f>
        <v>0.2244289052154195</v>
      </c>
    </row>
    <row r="56" spans="1:13">
      <c r="A56" s="46" t="s">
        <v>142</v>
      </c>
      <c r="B56">
        <f>B55*6</f>
        <v>1.3465734312925171</v>
      </c>
    </row>
    <row r="57" spans="1:13">
      <c r="A57" s="46" t="s">
        <v>153</v>
      </c>
      <c r="B57">
        <f>(((PI()*B52^2)/400)*B12*100*C28)/1000</f>
        <v>3.8815971051448864E-2</v>
      </c>
    </row>
    <row r="58" spans="1:13">
      <c r="A58" s="46" t="s">
        <v>140</v>
      </c>
      <c r="B58">
        <f>0.687*'mat properties'!H5</f>
        <v>1.8755100000000002</v>
      </c>
      <c r="C58">
        <f>(B58*132*2)/1000</f>
        <v>0.49513464000000007</v>
      </c>
    </row>
    <row r="59" spans="1:13" ht="25.5">
      <c r="A59" s="65" t="s">
        <v>141</v>
      </c>
      <c r="B59">
        <f>(1.04-0.687)*'mat properties'!G5</f>
        <v>3.1628799999999999</v>
      </c>
      <c r="C59">
        <f>(B59*132)/1000</f>
        <v>0.41750016000000001</v>
      </c>
    </row>
    <row r="60" spans="1:13" ht="25.5">
      <c r="A60" s="65" t="s">
        <v>154</v>
      </c>
      <c r="B60">
        <f>(B56+(((B58*2)+B59)*B5*B7)/1000)+(B7*B57)</f>
        <v>2.4921040576012099</v>
      </c>
    </row>
    <row r="62" spans="1:13" ht="25.5">
      <c r="D62" s="1" t="s">
        <v>68</v>
      </c>
    </row>
    <row r="63" spans="1:13" ht="40.5" thickBot="1">
      <c r="A63" s="56" t="s">
        <v>71</v>
      </c>
      <c r="B63">
        <f>'mat properties'!S22</f>
        <v>1.0056</v>
      </c>
      <c r="C63">
        <f>'mat properties'!S5</f>
        <v>1.1999999999999999E-3</v>
      </c>
      <c r="D63" s="6">
        <f>$B$2/(B63*$B$15)</f>
        <v>0.51981630143921309</v>
      </c>
      <c r="E63" s="6">
        <f>D63/C63</f>
        <v>433.1802511993443</v>
      </c>
      <c r="F63" s="3">
        <f>'mat properties'!S24</f>
        <v>1.7960000000000001E-5</v>
      </c>
      <c r="G63" s="7">
        <f>(4*D63)/(PI()*F63*$B$16)</f>
        <v>3.9203589003363248</v>
      </c>
      <c r="H63">
        <f>'mat properties'!S21</f>
        <v>2.5700000000000001E-2</v>
      </c>
      <c r="I63">
        <f>'mat properties'!S26</f>
        <v>0.71</v>
      </c>
      <c r="J63" s="8">
        <f>(4*E63)/(PI()*(G63^2))</f>
        <v>35.886170180642722</v>
      </c>
      <c r="K63" s="9">
        <f>C63*(J63^2)*($B$17/2)*(4/G63)*1000000</f>
        <v>6313.6083309109672</v>
      </c>
      <c r="L63" s="4">
        <f>(K63*0.000145038)/3.28</f>
        <v>0.27918083082276368</v>
      </c>
      <c r="M63" t="s">
        <v>70</v>
      </c>
    </row>
  </sheetData>
  <mergeCells count="5">
    <mergeCell ref="C18:H18"/>
    <mergeCell ref="A14:B14"/>
    <mergeCell ref="G13:K13"/>
    <mergeCell ref="F14:G16"/>
    <mergeCell ref="H14:K16"/>
  </mergeCells>
  <phoneticPr fontId="2" type="noConversion"/>
  <pageMargins left="0" right="0" top="0" bottom="0" header="0" footer="0"/>
  <pageSetup paperSize="17" scale="48" orientation="landscape" r:id="rId1"/>
  <headerFooter alignWithMargins="0"/>
  <drawing r:id="rId2"/>
  <legacyDrawing r:id="rId3"/>
  <oleObjects>
    <oleObject progId="Equation.3" shapeId="2049" r:id="rId4"/>
    <oleObject progId="Equation.3" shapeId="2050" r:id="rId5"/>
    <oleObject progId="Equation.3" shapeId="2056" r:id="rId6"/>
    <oleObject progId="Equation.3" shapeId="2057" r:id="rId7"/>
    <oleObject progId="Equation.3" shapeId="2058" r:id="rId8"/>
  </oleObject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P98"/>
  <sheetViews>
    <sheetView workbookViewId="0">
      <selection activeCell="G29" sqref="G29:L30"/>
    </sheetView>
  </sheetViews>
  <sheetFormatPr defaultRowHeight="12.75"/>
  <cols>
    <col min="1" max="1" width="33.140625" customWidth="1"/>
    <col min="2" max="2" width="16" customWidth="1"/>
    <col min="3" max="3" width="11.42578125" customWidth="1"/>
    <col min="4" max="4" width="15.140625" customWidth="1"/>
    <col min="5" max="5" width="10.5703125" customWidth="1"/>
    <col min="6" max="6" width="15.28515625" customWidth="1"/>
    <col min="7" max="7" width="15.85546875" customWidth="1"/>
    <col min="8" max="8" width="14.28515625" customWidth="1"/>
    <col min="9" max="9" width="14.140625" customWidth="1"/>
    <col min="10" max="10" width="12.140625" customWidth="1"/>
    <col min="11" max="11" width="15.28515625" customWidth="1"/>
    <col min="12" max="12" width="13" customWidth="1"/>
    <col min="15" max="15" width="12" bestFit="1" customWidth="1"/>
  </cols>
  <sheetData>
    <row r="2" spans="1:11">
      <c r="A2" t="s">
        <v>69</v>
      </c>
      <c r="B2">
        <v>2.0699999999999998</v>
      </c>
    </row>
    <row r="3" spans="1:11">
      <c r="A3" t="s">
        <v>39</v>
      </c>
      <c r="B3">
        <v>4</v>
      </c>
    </row>
    <row r="4" spans="1:11">
      <c r="A4" t="s">
        <v>40</v>
      </c>
      <c r="B4">
        <v>9</v>
      </c>
    </row>
    <row r="5" spans="1:11">
      <c r="A5" t="s">
        <v>102</v>
      </c>
      <c r="B5">
        <f>2*B4+B3</f>
        <v>22</v>
      </c>
    </row>
    <row r="6" spans="1:11">
      <c r="A6" t="s">
        <v>103</v>
      </c>
      <c r="B6">
        <f>B5*B2</f>
        <v>45.54</v>
      </c>
    </row>
    <row r="7" spans="1:11">
      <c r="A7" t="s">
        <v>41</v>
      </c>
      <c r="B7">
        <v>6</v>
      </c>
    </row>
    <row r="8" spans="1:11" ht="20.25">
      <c r="A8" t="s">
        <v>65</v>
      </c>
      <c r="B8">
        <f>B7*B6</f>
        <v>273.24</v>
      </c>
    </row>
    <row r="9" spans="1:11">
      <c r="A9" t="s">
        <v>42</v>
      </c>
      <c r="B9">
        <v>4</v>
      </c>
    </row>
    <row r="10" spans="1:11">
      <c r="A10" t="s">
        <v>43</v>
      </c>
      <c r="B10">
        <f>B9*B8</f>
        <v>1092.96</v>
      </c>
    </row>
    <row r="11" spans="1:11" ht="28.5">
      <c r="A11" s="123" t="s">
        <v>75</v>
      </c>
      <c r="B11">
        <v>40</v>
      </c>
    </row>
    <row r="12" spans="1:11">
      <c r="A12" t="s">
        <v>116</v>
      </c>
      <c r="B12">
        <v>3.67</v>
      </c>
    </row>
    <row r="13" spans="1:11" ht="42" customHeight="1">
      <c r="A13" s="123" t="s">
        <v>53</v>
      </c>
      <c r="B13">
        <v>12</v>
      </c>
      <c r="C13" t="str">
        <f>CONCATENATE("=",B13*(39.37/12)," feet")</f>
        <v>=39.37 feet</v>
      </c>
      <c r="F13" s="124" t="s">
        <v>73</v>
      </c>
      <c r="G13" s="277"/>
      <c r="H13" s="277"/>
      <c r="I13" s="277"/>
      <c r="J13" s="277"/>
      <c r="K13" s="277"/>
    </row>
    <row r="14" spans="1:11" ht="25.5" customHeight="1">
      <c r="A14" s="279" t="s">
        <v>44</v>
      </c>
      <c r="B14" s="279"/>
      <c r="F14" s="280" t="s">
        <v>72</v>
      </c>
      <c r="G14" s="280"/>
      <c r="H14" s="277"/>
      <c r="I14" s="277"/>
      <c r="J14" s="277"/>
      <c r="K14" s="277"/>
    </row>
    <row r="15" spans="1:11" ht="14.25">
      <c r="A15" t="s">
        <v>47</v>
      </c>
      <c r="B15">
        <v>3.96</v>
      </c>
      <c r="F15" s="280"/>
      <c r="G15" s="280"/>
      <c r="H15" s="277"/>
      <c r="I15" s="277"/>
      <c r="J15" s="277"/>
      <c r="K15" s="277"/>
    </row>
    <row r="16" spans="1:11">
      <c r="A16" t="s">
        <v>50</v>
      </c>
      <c r="B16" s="3">
        <v>9400</v>
      </c>
      <c r="F16" s="280"/>
      <c r="G16" s="280"/>
      <c r="H16" s="277"/>
      <c r="I16" s="277"/>
      <c r="J16" s="277"/>
      <c r="K16" s="277"/>
    </row>
    <row r="17" spans="1:12" ht="38.25">
      <c r="A17" s="123" t="s">
        <v>54</v>
      </c>
      <c r="B17">
        <f>((LN(B16)*1.58)-3.28)^-2</f>
        <v>8.0082569225882749E-3</v>
      </c>
      <c r="D17" s="36" t="s">
        <v>77</v>
      </c>
    </row>
    <row r="18" spans="1:12" ht="25.5" customHeight="1"/>
    <row r="21" spans="1:12" ht="13.5" thickBot="1"/>
    <row r="22" spans="1:12" ht="14.25" thickTop="1" thickBot="1">
      <c r="A22" s="33" t="s">
        <v>76</v>
      </c>
      <c r="B22" s="34">
        <v>2.79</v>
      </c>
    </row>
    <row r="23" spans="1:12" ht="15.75" thickTop="1" thickBot="1">
      <c r="A23" s="31" t="s">
        <v>48</v>
      </c>
      <c r="B23" s="16">
        <f>'mat properties'!P22</f>
        <v>4.1813000000000002</v>
      </c>
    </row>
    <row r="24" spans="1:12" ht="20.25" thickTop="1" thickBot="1">
      <c r="A24" s="32" t="s">
        <v>66</v>
      </c>
      <c r="B24" s="16">
        <f>'mat properties'!P5</f>
        <v>1</v>
      </c>
    </row>
    <row r="25" spans="1:12" ht="14.25" thickTop="1" thickBot="1">
      <c r="A25" s="32" t="s">
        <v>55</v>
      </c>
      <c r="B25" s="17">
        <f>'mat properties'!P26</f>
        <v>7.02</v>
      </c>
    </row>
    <row r="26" spans="1:12" ht="13.5" customHeight="1" thickTop="1" thickBot="1">
      <c r="A26" s="32" t="s">
        <v>67</v>
      </c>
      <c r="B26" s="16">
        <f>'mat properties'!P21</f>
        <v>0.59699999999999998</v>
      </c>
    </row>
    <row r="27" spans="1:12" ht="22.5" customHeight="1" thickTop="1">
      <c r="A27" s="32" t="s">
        <v>63</v>
      </c>
      <c r="B27" s="18">
        <f>(4*E30)/(PI()*(B22^2))</f>
        <v>3.3759139784946233</v>
      </c>
    </row>
    <row r="28" spans="1:12" ht="57" customHeight="1" thickBot="1">
      <c r="C28" s="55" t="s">
        <v>83</v>
      </c>
      <c r="D28" s="55"/>
      <c r="E28" s="55"/>
      <c r="F28" s="55"/>
      <c r="G28" s="55"/>
    </row>
    <row r="29" spans="1:12" ht="47.25" thickTop="1">
      <c r="A29" s="30" t="s">
        <v>46</v>
      </c>
      <c r="B29" s="113" t="s">
        <v>307</v>
      </c>
      <c r="C29" s="136" t="s">
        <v>308</v>
      </c>
      <c r="D29" s="32" t="s">
        <v>78</v>
      </c>
      <c r="E29" s="32" t="s">
        <v>49</v>
      </c>
      <c r="F29" s="32" t="s">
        <v>51</v>
      </c>
      <c r="G29" s="13" t="s">
        <v>62</v>
      </c>
      <c r="H29" s="14" t="s">
        <v>64</v>
      </c>
      <c r="I29" s="37" t="s">
        <v>79</v>
      </c>
      <c r="J29" s="38" t="s">
        <v>80</v>
      </c>
      <c r="K29" s="38" t="s">
        <v>115</v>
      </c>
      <c r="L29" s="64" t="s">
        <v>135</v>
      </c>
    </row>
    <row r="30" spans="1:12">
      <c r="A30" s="15" t="s">
        <v>37</v>
      </c>
      <c r="B30">
        <v>1000</v>
      </c>
      <c r="D30" s="16">
        <f>(B22*F30*$B$16*PI())/4</f>
        <v>20.639047937728002</v>
      </c>
      <c r="E30" s="16">
        <f>D30/B24</f>
        <v>20.639047937728002</v>
      </c>
      <c r="F30" s="17">
        <f>'mat properties'!P24</f>
        <v>1.0020000000000001E-3</v>
      </c>
      <c r="G30" s="19">
        <f>B24*(B27^2)*($B$17/2)*(4/B22)*1000000</f>
        <v>65425.422205880306</v>
      </c>
      <c r="H30" s="20">
        <f>(G30*0.000145038)/3.28</f>
        <v>2.8930403615538016</v>
      </c>
      <c r="I30">
        <f>D30*B23*$B$15</f>
        <v>341.74028252240754</v>
      </c>
      <c r="J30">
        <f>I30/$B$2</f>
        <v>165.09192392386839</v>
      </c>
      <c r="K30" s="63">
        <f>G30*$B$12*0.00014503</f>
        <v>34.823341765844077</v>
      </c>
      <c r="L30">
        <f>$B$6/(D30*B23)</f>
        <v>0.52770600723131145</v>
      </c>
    </row>
    <row r="31" spans="1:12">
      <c r="B31">
        <f t="shared" ref="B31:B39" si="0">B30+1000</f>
        <v>2000</v>
      </c>
    </row>
    <row r="32" spans="1:12">
      <c r="B32">
        <f t="shared" si="0"/>
        <v>3000</v>
      </c>
    </row>
    <row r="33" spans="2:2">
      <c r="B33">
        <f t="shared" si="0"/>
        <v>4000</v>
      </c>
    </row>
    <row r="34" spans="2:2">
      <c r="B34">
        <f t="shared" si="0"/>
        <v>5000</v>
      </c>
    </row>
    <row r="35" spans="2:2">
      <c r="B35">
        <f t="shared" si="0"/>
        <v>6000</v>
      </c>
    </row>
    <row r="36" spans="2:2">
      <c r="B36">
        <f t="shared" si="0"/>
        <v>7000</v>
      </c>
    </row>
    <row r="37" spans="2:2">
      <c r="B37">
        <f t="shared" si="0"/>
        <v>8000</v>
      </c>
    </row>
    <row r="38" spans="2:2" ht="25.5" customHeight="1">
      <c r="B38">
        <f t="shared" si="0"/>
        <v>9000</v>
      </c>
    </row>
    <row r="39" spans="2:2">
      <c r="B39">
        <f t="shared" si="0"/>
        <v>10000</v>
      </c>
    </row>
    <row r="62" spans="1:16">
      <c r="A62" s="15" t="s">
        <v>38</v>
      </c>
      <c r="B62" s="16">
        <f>'mat properties'!R22</f>
        <v>2.44</v>
      </c>
      <c r="C62" s="16">
        <f>'mat properties'!R5</f>
        <v>0.78900000000000003</v>
      </c>
      <c r="D62" s="16">
        <f>(G62*F62*$B$16*PI())/4</f>
        <v>22.122093298522831</v>
      </c>
      <c r="E62" s="16">
        <f>D62/C62</f>
        <v>28.038141062766577</v>
      </c>
      <c r="F62" s="17">
        <f>'mat properties'!R24</f>
        <v>1.0740000000000001E-3</v>
      </c>
      <c r="G62" s="34">
        <v>2.79</v>
      </c>
      <c r="H62" s="16">
        <f>'mat properties'!R21</f>
        <v>0.16900000000000001</v>
      </c>
      <c r="I62" s="16">
        <f>'mat properties'!R26</f>
        <v>15.506272189349113</v>
      </c>
      <c r="J62" s="18">
        <f>(4*E62)/(PI()*(G62^2))</f>
        <v>4.5861782302356326</v>
      </c>
      <c r="K62" s="19">
        <f>C62*(J62^2)*($B$17/2)*(4/G62)*1000000</f>
        <v>95267.035333427397</v>
      </c>
      <c r="L62" s="20">
        <f>(K62*0.000145038)/3.28</f>
        <v>4.2126037410639157</v>
      </c>
      <c r="M62">
        <f>D62*B62*$B$15</f>
        <v>213.75251428764699</v>
      </c>
      <c r="N62">
        <f>M62/$B$2</f>
        <v>103.26208419693091</v>
      </c>
      <c r="O62" s="63">
        <f>K62*$B$12*0.00014503</f>
        <v>50.706841753273608</v>
      </c>
      <c r="P62">
        <f>$B$6/(D62*B62)</f>
        <v>0.8436784970740433</v>
      </c>
    </row>
    <row r="63" spans="1:16" ht="13.5" thickBot="1">
      <c r="A63" s="21" t="s">
        <v>273</v>
      </c>
      <c r="B63" s="22">
        <f>'mat properties'!Q22</f>
        <v>1.1000000000000001</v>
      </c>
      <c r="C63" s="22">
        <f>'mat properties'!Q5</f>
        <v>1.73</v>
      </c>
      <c r="D63" s="16">
        <f>(G63*F63*$B$16*PI())/4</f>
        <v>19.598856399948296</v>
      </c>
      <c r="E63" s="22">
        <f>D63/C63</f>
        <v>11.328818728293813</v>
      </c>
      <c r="F63" s="23">
        <f>'mat properties'!Q24</f>
        <v>9.5149999999999998E-4</v>
      </c>
      <c r="G63" s="35">
        <v>2.79</v>
      </c>
      <c r="H63" s="22">
        <f>'mat properties'!Q21</f>
        <v>0.06</v>
      </c>
      <c r="I63" s="22">
        <f>'mat properties'!Q26</f>
        <v>17.444166666666668</v>
      </c>
      <c r="J63" s="24">
        <f>(4*E63)/(PI()*(G63^2))</f>
        <v>1.8530465949820787</v>
      </c>
      <c r="K63" s="25">
        <f>C63*(J63^2)*($B$17/2)*(4/G63)*1000000</f>
        <v>34102.213811789916</v>
      </c>
      <c r="L63" s="26">
        <f>(K63*0.000145038)/3.28</f>
        <v>1.5079624654982886</v>
      </c>
      <c r="M63">
        <f>D63*B63*$B$15</f>
        <v>85.372618478174786</v>
      </c>
      <c r="N63">
        <f>M63/$B$2</f>
        <v>41.242810859021638</v>
      </c>
      <c r="O63" s="63">
        <f>K63*$B$12*0.00014503</f>
        <v>18.151247733684681</v>
      </c>
      <c r="P63">
        <f>$B$6/(D63*B63)</f>
        <v>2.1123681481797689</v>
      </c>
    </row>
    <row r="64" spans="1:16" ht="14.25" thickTop="1" thickBot="1">
      <c r="J64">
        <f>J63*3.28</f>
        <v>6.0779928315412182</v>
      </c>
      <c r="K64" t="s">
        <v>134</v>
      </c>
    </row>
    <row r="65" spans="1:12" ht="55.5" thickTop="1">
      <c r="A65" s="11" t="s">
        <v>46</v>
      </c>
      <c r="B65" s="12" t="s">
        <v>74</v>
      </c>
      <c r="C65" s="40" t="s">
        <v>84</v>
      </c>
      <c r="D65" s="39" t="s">
        <v>81</v>
      </c>
      <c r="E65" s="122"/>
      <c r="F65" s="122"/>
      <c r="G65" s="122"/>
      <c r="K65" s="123" t="s">
        <v>149</v>
      </c>
      <c r="L65">
        <v>8</v>
      </c>
    </row>
    <row r="66" spans="1:12" ht="51">
      <c r="A66" s="15" t="s">
        <v>37</v>
      </c>
      <c r="B66" s="16" t="e">
        <f>(($B$17/2)*$B$16*#REF!)/(1.07+(12.7*(($B$17/2)^0.5))*((#REF!^0.6666)-1))</f>
        <v>#REF!</v>
      </c>
      <c r="C66" s="41" t="e">
        <f>(1+(B22/$B$11)^0.7)*B66</f>
        <v>#REF!</v>
      </c>
      <c r="D66" s="39" t="s">
        <v>82</v>
      </c>
      <c r="E66" s="122"/>
      <c r="F66" s="122"/>
      <c r="G66" s="122"/>
      <c r="K66" s="123" t="s">
        <v>150</v>
      </c>
      <c r="L66">
        <f>L65*(B24/C63)^0.5</f>
        <v>6.0822873701576441</v>
      </c>
    </row>
    <row r="67" spans="1:12">
      <c r="A67" s="15" t="s">
        <v>38</v>
      </c>
      <c r="B67" s="16">
        <f>(($B$17/2)*$B$16*I56)/(1.07+(12.7*(($B$17/2)^0.5))*((I56^0.6666)-1))</f>
        <v>0</v>
      </c>
      <c r="C67" s="41">
        <f>(1+(G62/$B$11)^0.7)*B67</f>
        <v>0</v>
      </c>
      <c r="E67" s="122"/>
      <c r="F67" s="122"/>
      <c r="G67" s="122"/>
    </row>
    <row r="68" spans="1:12" ht="13.5" thickBot="1">
      <c r="A68" s="21" t="s">
        <v>33</v>
      </c>
      <c r="B68" s="22">
        <f>(($B$17/2)*$B$16*I57)/(1.07+(12.7*(($B$17/2)^0.5))*((I57^0.6666)-1))</f>
        <v>0</v>
      </c>
      <c r="C68" s="42">
        <f>(1+(G63/$B$11)^0.7)*B68</f>
        <v>0</v>
      </c>
    </row>
    <row r="69" spans="1:12" ht="14.25" thickTop="1" thickBot="1"/>
    <row r="70" spans="1:12" ht="27.75" thickTop="1">
      <c r="A70" s="11" t="s">
        <v>46</v>
      </c>
      <c r="B70" s="123" t="s">
        <v>87</v>
      </c>
    </row>
    <row r="71" spans="1:12">
      <c r="A71" s="15" t="s">
        <v>37</v>
      </c>
      <c r="B71" t="e">
        <f>(C66*B26*1000)/B22</f>
        <v>#REF!</v>
      </c>
    </row>
    <row r="72" spans="1:12">
      <c r="A72" s="15" t="s">
        <v>38</v>
      </c>
      <c r="B72">
        <f>(C67*H62*1000)/G62</f>
        <v>0</v>
      </c>
    </row>
    <row r="73" spans="1:12" ht="13.5" thickBot="1">
      <c r="A73" s="44" t="s">
        <v>33</v>
      </c>
      <c r="B73" s="43">
        <f>(C68*H63*1000)/G63</f>
        <v>0</v>
      </c>
      <c r="C73" s="45" t="s">
        <v>88</v>
      </c>
      <c r="D73" s="45"/>
      <c r="E73" s="45"/>
      <c r="F73" s="45"/>
    </row>
    <row r="74" spans="1:12" ht="13.5" thickTop="1">
      <c r="A74" s="46" t="s">
        <v>89</v>
      </c>
      <c r="B74">
        <v>0.3</v>
      </c>
    </row>
    <row r="75" spans="1:12" ht="14.25">
      <c r="A75" s="46" t="s">
        <v>90</v>
      </c>
      <c r="B75" s="47">
        <f>(B11*5.3)/1000000</f>
        <v>2.12E-4</v>
      </c>
    </row>
    <row r="76" spans="1:12" ht="14.25">
      <c r="A76" s="48" t="s">
        <v>91</v>
      </c>
      <c r="B76">
        <f>(B2*B74)/('mat properties'!W21*1000*fluid_equivalence!B75)</f>
        <v>2.9292452830188673</v>
      </c>
    </row>
    <row r="77" spans="1:12" ht="14.25">
      <c r="A77" s="48" t="s">
        <v>92</v>
      </c>
      <c r="B77" s="47">
        <f>(B11*2.5)/1000000</f>
        <v>1E-4</v>
      </c>
    </row>
    <row r="78" spans="1:12">
      <c r="A78" s="48" t="s">
        <v>93</v>
      </c>
      <c r="B78">
        <v>3.0000000000000001E-3</v>
      </c>
    </row>
    <row r="79" spans="1:12" ht="14.25">
      <c r="A79" s="46" t="s">
        <v>94</v>
      </c>
      <c r="B79">
        <f>(B2*B78)/('mat properties'!H21*fluid_equivalence!B77)</f>
        <v>0.39056603773584897</v>
      </c>
    </row>
    <row r="80" spans="1:12" ht="14.25">
      <c r="A80" s="46" t="s">
        <v>96</v>
      </c>
      <c r="B80" s="3">
        <f>(PI()*2.5*B11)/2000000</f>
        <v>1.5707963267948965E-4</v>
      </c>
    </row>
    <row r="81" spans="1:4" ht="15" thickBot="1">
      <c r="A81" s="46" t="s">
        <v>95</v>
      </c>
      <c r="B81" s="3" t="e">
        <f>B2/(B73*B80)</f>
        <v>#DIV/0!</v>
      </c>
    </row>
    <row r="82" spans="1:4" ht="22.5" thickTop="1" thickBot="1">
      <c r="A82" s="49" t="s">
        <v>97</v>
      </c>
      <c r="B82" s="50" t="e">
        <f>B76+B79+B81</f>
        <v>#DIV/0!</v>
      </c>
    </row>
    <row r="83" spans="1:4" ht="15.75" thickTop="1" thickBot="1">
      <c r="A83" s="46" t="s">
        <v>98</v>
      </c>
      <c r="B83">
        <v>24</v>
      </c>
    </row>
    <row r="84" spans="1:4" ht="20.25" thickTop="1" thickBot="1">
      <c r="A84" s="52" t="s">
        <v>99</v>
      </c>
      <c r="B84" s="53" t="e">
        <f>B83+B82</f>
        <v>#DIV/0!</v>
      </c>
      <c r="C84" s="66" t="e">
        <f>(9/5*B84)+32</f>
        <v>#DIV/0!</v>
      </c>
      <c r="D84" s="51" t="s">
        <v>148</v>
      </c>
    </row>
    <row r="85" spans="1:4" ht="13.5" thickTop="1">
      <c r="A85" s="46" t="s">
        <v>136</v>
      </c>
      <c r="B85" s="63">
        <f>G63</f>
        <v>2.79</v>
      </c>
    </row>
    <row r="86" spans="1:4">
      <c r="A86" s="46" t="s">
        <v>137</v>
      </c>
      <c r="B86">
        <v>4.0599999999999996</v>
      </c>
    </row>
    <row r="87" spans="1:4">
      <c r="A87" s="46" t="s">
        <v>138</v>
      </c>
      <c r="B87">
        <v>4.1110000000000001E-2</v>
      </c>
    </row>
    <row r="88" spans="1:4">
      <c r="A88" s="46" t="s">
        <v>139</v>
      </c>
      <c r="B88">
        <f>(B12*3.28*B87)/2.205</f>
        <v>0.2244289052154195</v>
      </c>
    </row>
    <row r="89" spans="1:4">
      <c r="A89" s="46" t="s">
        <v>142</v>
      </c>
      <c r="B89">
        <f>B88*6</f>
        <v>1.3465734312925171</v>
      </c>
    </row>
    <row r="90" spans="1:4">
      <c r="A90" s="46" t="s">
        <v>153</v>
      </c>
      <c r="B90">
        <f>(((PI()*B85^2)/400)*B12*100*C63)/1000</f>
        <v>3.8815971051448864E-2</v>
      </c>
    </row>
    <row r="91" spans="1:4">
      <c r="A91" s="46" t="s">
        <v>140</v>
      </c>
      <c r="B91">
        <f>0.687*'mat properties'!H5</f>
        <v>1.8755100000000002</v>
      </c>
      <c r="C91">
        <f>(B91*132*2)/1000</f>
        <v>0.49513464000000007</v>
      </c>
    </row>
    <row r="92" spans="1:4" ht="25.5">
      <c r="A92" s="65" t="s">
        <v>141</v>
      </c>
      <c r="B92">
        <f>(1.04-0.687)*'mat properties'!G5</f>
        <v>3.1628799999999999</v>
      </c>
      <c r="C92">
        <f>(B92*132)/1000</f>
        <v>0.41750016000000001</v>
      </c>
    </row>
    <row r="93" spans="1:4" ht="25.5">
      <c r="A93" s="65" t="s">
        <v>154</v>
      </c>
      <c r="B93">
        <f>(B89+(((B91*2)+B92)*B5*B7)/1000)+(B7*B90)</f>
        <v>2.4921040576012099</v>
      </c>
    </row>
    <row r="97" spans="1:13" ht="25.5">
      <c r="D97" s="123" t="s">
        <v>68</v>
      </c>
    </row>
    <row r="98" spans="1:13" ht="40.5" thickBot="1">
      <c r="A98" s="56" t="s">
        <v>71</v>
      </c>
      <c r="B98">
        <f>'mat properties'!S22</f>
        <v>1.0056</v>
      </c>
      <c r="C98">
        <f>'mat properties'!S5</f>
        <v>1.1999999999999999E-3</v>
      </c>
      <c r="D98" s="6">
        <f>$B$2/(B98*$B$15)</f>
        <v>0.51981630143921309</v>
      </c>
      <c r="E98" s="6">
        <f>D98/C98</f>
        <v>433.1802511993443</v>
      </c>
      <c r="F98" s="3">
        <f>'mat properties'!S24</f>
        <v>1.7960000000000001E-5</v>
      </c>
      <c r="G98" s="7">
        <f>(4*D98)/(PI()*F98*$B$16)</f>
        <v>3.9203589003363248</v>
      </c>
      <c r="H98">
        <f>'mat properties'!S21</f>
        <v>2.5700000000000001E-2</v>
      </c>
      <c r="I98">
        <f>'mat properties'!S26</f>
        <v>0.71</v>
      </c>
      <c r="J98" s="8">
        <f>(4*E98)/(PI()*(G98^2))</f>
        <v>35.886170180642722</v>
      </c>
      <c r="K98" s="9">
        <f>C98*(J98^2)*($B$17/2)*(4/G98)*1000000</f>
        <v>6313.6083309109672</v>
      </c>
      <c r="L98" s="4">
        <f>(K98*0.000145038)/3.28</f>
        <v>0.27918083082276368</v>
      </c>
      <c r="M98" t="s">
        <v>70</v>
      </c>
    </row>
  </sheetData>
  <mergeCells count="4">
    <mergeCell ref="G13:K13"/>
    <mergeCell ref="A14:B14"/>
    <mergeCell ref="F14:G16"/>
    <mergeCell ref="H14:K16"/>
  </mergeCells>
  <pageMargins left="0" right="0" top="0" bottom="0" header="0" footer="0"/>
  <pageSetup paperSize="17" scale="36" orientation="landscape" r:id="rId1"/>
  <headerFooter alignWithMargins="0"/>
  <drawing r:id="rId2"/>
  <legacyDrawing r:id="rId3"/>
  <oleObjects>
    <oleObject progId="Equation.3" shapeId="22529" r:id="rId4"/>
    <oleObject progId="Equation.3" shapeId="22530" r:id="rId5"/>
    <oleObject progId="Equation.3" shapeId="22531" r:id="rId6"/>
    <oleObject progId="Equation.3" shapeId="22532" r:id="rId7"/>
    <oleObject progId="Equation.3" shapeId="22533" r:id="rId8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3:N45"/>
  <sheetViews>
    <sheetView topLeftCell="F39" workbookViewId="0">
      <selection activeCell="H41" sqref="H41:Q66"/>
    </sheetView>
  </sheetViews>
  <sheetFormatPr defaultRowHeight="12.75"/>
  <cols>
    <col min="1" max="1" width="19" customWidth="1"/>
    <col min="2" max="2" width="18.5703125" customWidth="1"/>
    <col min="6" max="6" width="18.5703125" customWidth="1"/>
    <col min="7" max="7" width="11.5703125" customWidth="1"/>
    <col min="9" max="9" width="12.85546875" customWidth="1"/>
  </cols>
  <sheetData>
    <row r="3" spans="1:9">
      <c r="A3" s="113" t="s">
        <v>329</v>
      </c>
    </row>
    <row r="4" spans="1:9">
      <c r="C4" s="113" t="s">
        <v>311</v>
      </c>
      <c r="D4" s="113" t="s">
        <v>312</v>
      </c>
      <c r="E4" s="113" t="s">
        <v>313</v>
      </c>
      <c r="F4" s="113" t="s">
        <v>100</v>
      </c>
      <c r="G4" s="113" t="s">
        <v>125</v>
      </c>
      <c r="H4" s="113" t="s">
        <v>282</v>
      </c>
      <c r="I4" s="113" t="s">
        <v>327</v>
      </c>
    </row>
    <row r="5" spans="1:9">
      <c r="A5" s="137" t="s">
        <v>309</v>
      </c>
      <c r="B5" s="113" t="s">
        <v>310</v>
      </c>
      <c r="C5">
        <v>1022</v>
      </c>
      <c r="D5">
        <v>1060</v>
      </c>
      <c r="E5">
        <v>0.81200000000000006</v>
      </c>
      <c r="F5" s="140">
        <f>'mat properties'!$D$5</f>
        <v>1.9</v>
      </c>
      <c r="G5">
        <f>(PI()/4000)*(D5^2-C5^2)*E5</f>
        <v>50.455699609426254</v>
      </c>
      <c r="H5">
        <v>12</v>
      </c>
      <c r="I5">
        <f>(F5*G5*H5)/1000</f>
        <v>1.1503899510949187</v>
      </c>
    </row>
    <row r="6" spans="1:9">
      <c r="A6" s="137" t="s">
        <v>309</v>
      </c>
      <c r="B6" s="113" t="s">
        <v>314</v>
      </c>
      <c r="C6">
        <v>1022</v>
      </c>
      <c r="D6">
        <v>1060</v>
      </c>
      <c r="E6">
        <v>3.2</v>
      </c>
      <c r="F6" s="141">
        <f>'mat properties'!$B$5</f>
        <v>3.2000000000000001E-2</v>
      </c>
      <c r="G6">
        <f t="shared" ref="G6:G13" si="0">(PI()/4000)*(D6^2-C6^2)*E6</f>
        <v>198.84019550512809</v>
      </c>
      <c r="H6">
        <v>6</v>
      </c>
      <c r="I6">
        <f t="shared" ref="I6:I17" si="1">(F6*G6*H6)/1000</f>
        <v>3.8177317536984598E-2</v>
      </c>
    </row>
    <row r="7" spans="1:9">
      <c r="A7" s="138" t="s">
        <v>315</v>
      </c>
      <c r="B7" s="113" t="s">
        <v>316</v>
      </c>
      <c r="C7">
        <v>996</v>
      </c>
      <c r="D7">
        <v>1178</v>
      </c>
      <c r="E7">
        <v>0.81200000000000006</v>
      </c>
      <c r="F7" s="140">
        <f>'mat properties'!$D$5</f>
        <v>1.9</v>
      </c>
      <c r="G7">
        <f t="shared" si="0"/>
        <v>252.33461945829498</v>
      </c>
      <c r="H7">
        <v>12</v>
      </c>
      <c r="I7">
        <f t="shared" si="1"/>
        <v>5.7532293236491263</v>
      </c>
    </row>
    <row r="8" spans="1:9">
      <c r="A8" s="138" t="s">
        <v>315</v>
      </c>
      <c r="B8" s="113" t="s">
        <v>317</v>
      </c>
      <c r="C8">
        <v>996</v>
      </c>
      <c r="D8">
        <v>1060</v>
      </c>
      <c r="E8">
        <v>0.81200000000000006</v>
      </c>
      <c r="F8" s="140">
        <f>'mat properties'!$D$5</f>
        <v>1.9</v>
      </c>
      <c r="G8">
        <f t="shared" si="0"/>
        <v>83.916815529181761</v>
      </c>
      <c r="H8">
        <v>12</v>
      </c>
      <c r="I8">
        <f t="shared" si="1"/>
        <v>1.9133033940653441</v>
      </c>
    </row>
    <row r="9" spans="1:9">
      <c r="A9" s="138" t="s">
        <v>315</v>
      </c>
      <c r="B9" s="113" t="s">
        <v>318</v>
      </c>
      <c r="C9">
        <v>996</v>
      </c>
      <c r="D9">
        <v>1060</v>
      </c>
      <c r="E9">
        <v>4</v>
      </c>
      <c r="F9" s="141">
        <f>'mat properties'!$B$5</f>
        <v>3.2000000000000001E-2</v>
      </c>
      <c r="G9">
        <f t="shared" si="0"/>
        <v>413.38332772995938</v>
      </c>
      <c r="H9">
        <v>12</v>
      </c>
      <c r="I9">
        <f t="shared" si="1"/>
        <v>0.1587391978483044</v>
      </c>
    </row>
    <row r="10" spans="1:9">
      <c r="A10" s="138" t="s">
        <v>315</v>
      </c>
      <c r="B10" s="113" t="s">
        <v>319</v>
      </c>
      <c r="C10">
        <v>0</v>
      </c>
      <c r="D10">
        <v>996</v>
      </c>
      <c r="E10">
        <v>2</v>
      </c>
      <c r="F10" s="141">
        <f>'mat properties'!$B$5</f>
        <v>3.2000000000000001E-2</v>
      </c>
      <c r="G10">
        <f t="shared" si="0"/>
        <v>1558.2550889217662</v>
      </c>
      <c r="H10">
        <v>12</v>
      </c>
      <c r="I10">
        <f t="shared" si="1"/>
        <v>0.59836995414595817</v>
      </c>
    </row>
    <row r="11" spans="1:9">
      <c r="A11" s="139" t="s">
        <v>320</v>
      </c>
      <c r="B11" s="113" t="s">
        <v>316</v>
      </c>
      <c r="C11">
        <v>970</v>
      </c>
      <c r="D11">
        <v>1178</v>
      </c>
      <c r="E11">
        <v>0.81200000000000006</v>
      </c>
      <c r="F11" s="140">
        <f>'mat properties'!$D$5</f>
        <v>1.9</v>
      </c>
      <c r="G11">
        <f t="shared" si="0"/>
        <v>284.93350642471688</v>
      </c>
      <c r="H11">
        <v>6</v>
      </c>
      <c r="I11">
        <f t="shared" si="1"/>
        <v>3.2482419732417727</v>
      </c>
    </row>
    <row r="12" spans="1:9">
      <c r="A12" s="139" t="s">
        <v>320</v>
      </c>
      <c r="B12" s="113" t="s">
        <v>317</v>
      </c>
      <c r="C12">
        <v>996</v>
      </c>
      <c r="D12">
        <v>1178</v>
      </c>
      <c r="E12">
        <v>0.81200000000000006</v>
      </c>
      <c r="F12" s="140">
        <f>'mat properties'!$D$5</f>
        <v>1.9</v>
      </c>
      <c r="G12">
        <f t="shared" si="0"/>
        <v>252.33461945829498</v>
      </c>
      <c r="H12">
        <v>6</v>
      </c>
      <c r="I12">
        <f t="shared" si="1"/>
        <v>2.8766146618245632</v>
      </c>
    </row>
    <row r="13" spans="1:9">
      <c r="A13" s="139" t="s">
        <v>320</v>
      </c>
      <c r="B13" s="113" t="s">
        <v>314</v>
      </c>
      <c r="C13">
        <v>996</v>
      </c>
      <c r="D13">
        <v>1178</v>
      </c>
      <c r="E13">
        <v>3.2</v>
      </c>
      <c r="F13" s="141">
        <f>'mat properties'!$B$5</f>
        <v>3.2000000000000001E-2</v>
      </c>
      <c r="G13">
        <f t="shared" si="0"/>
        <v>994.42214564845312</v>
      </c>
      <c r="H13">
        <v>6</v>
      </c>
      <c r="I13">
        <f t="shared" si="1"/>
        <v>0.19092905196450299</v>
      </c>
    </row>
    <row r="14" spans="1:9">
      <c r="A14" s="142" t="s">
        <v>322</v>
      </c>
      <c r="B14" s="113" t="s">
        <v>2</v>
      </c>
      <c r="F14" s="143">
        <f>'mat properties'!$G$5</f>
        <v>8.9600000000000009</v>
      </c>
      <c r="G14">
        <v>1.2450000000000001</v>
      </c>
      <c r="H14">
        <v>114</v>
      </c>
      <c r="I14">
        <f t="shared" si="1"/>
        <v>1.2716928000000003</v>
      </c>
    </row>
    <row r="15" spans="1:9">
      <c r="A15" s="142" t="s">
        <v>323</v>
      </c>
      <c r="B15" s="113" t="s">
        <v>2</v>
      </c>
      <c r="F15" s="143">
        <f>'mat properties'!$G$5</f>
        <v>8.9600000000000009</v>
      </c>
      <c r="G15">
        <v>2.4900000000000002</v>
      </c>
      <c r="H15">
        <v>12</v>
      </c>
      <c r="I15">
        <f t="shared" si="1"/>
        <v>0.2677248000000001</v>
      </c>
    </row>
    <row r="16" spans="1:9">
      <c r="A16" s="142" t="s">
        <v>324</v>
      </c>
      <c r="B16" s="113" t="s">
        <v>2</v>
      </c>
      <c r="F16" s="143">
        <f>'mat properties'!$G$5</f>
        <v>8.9600000000000009</v>
      </c>
      <c r="G16">
        <v>2.0630000000000002</v>
      </c>
      <c r="H16">
        <v>6</v>
      </c>
      <c r="I16">
        <f t="shared" si="1"/>
        <v>0.11090688000000003</v>
      </c>
    </row>
    <row r="17" spans="1:10">
      <c r="A17" s="142" t="s">
        <v>325</v>
      </c>
      <c r="B17" s="113" t="s">
        <v>326</v>
      </c>
      <c r="F17" s="144">
        <f>'mat properties'!$H$5</f>
        <v>2.73</v>
      </c>
      <c r="G17">
        <v>0.65700000000000003</v>
      </c>
      <c r="H17">
        <v>132</v>
      </c>
      <c r="I17">
        <f t="shared" si="1"/>
        <v>0.23675652000000003</v>
      </c>
    </row>
    <row r="19" spans="1:10">
      <c r="E19" s="113" t="s">
        <v>345</v>
      </c>
      <c r="F19" s="113" t="s">
        <v>346</v>
      </c>
    </row>
    <row r="20" spans="1:10">
      <c r="A20" s="142" t="s">
        <v>328</v>
      </c>
      <c r="B20" s="113" t="s">
        <v>2</v>
      </c>
      <c r="E20">
        <v>3.77</v>
      </c>
      <c r="F20">
        <v>6.1168E-2</v>
      </c>
      <c r="H20">
        <v>6</v>
      </c>
      <c r="I20">
        <f>F20*E20*H20</f>
        <v>1.38362016</v>
      </c>
    </row>
    <row r="21" spans="1:10">
      <c r="F21" s="113" t="s">
        <v>327</v>
      </c>
    </row>
    <row r="22" spans="1:10">
      <c r="A22" s="142" t="s">
        <v>347</v>
      </c>
      <c r="B22" s="113" t="s">
        <v>348</v>
      </c>
      <c r="F22">
        <v>0.01</v>
      </c>
      <c r="H22">
        <v>132</v>
      </c>
      <c r="I22">
        <f>H22*F22</f>
        <v>1.32</v>
      </c>
    </row>
    <row r="23" spans="1:10">
      <c r="H23" s="113"/>
      <c r="I23">
        <f>SUM(I5:I22)</f>
        <v>20.518695985371476</v>
      </c>
      <c r="J23" s="113" t="s">
        <v>355</v>
      </c>
    </row>
    <row r="26" spans="1:10">
      <c r="A26" s="153" t="s">
        <v>351</v>
      </c>
      <c r="B26" s="113" t="s">
        <v>353</v>
      </c>
      <c r="C26">
        <v>1021</v>
      </c>
      <c r="D26">
        <v>1060</v>
      </c>
      <c r="E26">
        <v>2</v>
      </c>
      <c r="F26" s="140">
        <f>'mat properties'!$D$5</f>
        <v>1.9</v>
      </c>
      <c r="G26">
        <f>(PI()/4000)*(D26^2-C26^2)*E26</f>
        <v>127.48425908634702</v>
      </c>
      <c r="H26">
        <v>2</v>
      </c>
      <c r="I26">
        <f>(F26*G26*H26)/1000</f>
        <v>0.48444018452811866</v>
      </c>
    </row>
    <row r="27" spans="1:10">
      <c r="A27" s="153" t="s">
        <v>352</v>
      </c>
      <c r="B27" s="113" t="s">
        <v>353</v>
      </c>
      <c r="C27">
        <v>1021</v>
      </c>
      <c r="D27">
        <v>1025</v>
      </c>
      <c r="E27">
        <v>16</v>
      </c>
      <c r="F27" s="140">
        <f>'mat properties'!$D$5</f>
        <v>1.9</v>
      </c>
      <c r="G27">
        <f t="shared" ref="G27:G30" si="2">(PI()/4000)*(D27^2-C27^2)*E27</f>
        <v>102.84317710791548</v>
      </c>
      <c r="H27">
        <v>2</v>
      </c>
      <c r="I27">
        <f>(F27*G27*H27)/1000</f>
        <v>0.3908040730100788</v>
      </c>
    </row>
    <row r="28" spans="1:10">
      <c r="A28" s="153" t="s">
        <v>349</v>
      </c>
      <c r="B28" s="113" t="s">
        <v>353</v>
      </c>
      <c r="C28">
        <v>1025</v>
      </c>
      <c r="D28">
        <v>1027</v>
      </c>
      <c r="E28">
        <v>453</v>
      </c>
      <c r="F28" s="140">
        <f>'mat properties'!$D$5</f>
        <v>1.9</v>
      </c>
      <c r="G28">
        <f t="shared" si="2"/>
        <v>1460.1431503501569</v>
      </c>
      <c r="H28">
        <v>1</v>
      </c>
      <c r="I28">
        <f>(F28*G28*H28)/1000</f>
        <v>2.774271985665298</v>
      </c>
    </row>
    <row r="29" spans="1:10">
      <c r="A29" s="153" t="s">
        <v>354</v>
      </c>
      <c r="B29" s="113" t="s">
        <v>353</v>
      </c>
      <c r="C29">
        <v>15.875</v>
      </c>
      <c r="D29">
        <v>17.78</v>
      </c>
      <c r="E29">
        <v>457</v>
      </c>
      <c r="F29" s="140">
        <f>'mat properties'!$D$5</f>
        <v>1.9</v>
      </c>
      <c r="G29">
        <f t="shared" si="2"/>
        <v>23.011803471038444</v>
      </c>
      <c r="H29">
        <v>4</v>
      </c>
      <c r="I29">
        <f>(F29*G29*H29)/1000</f>
        <v>0.17488970637989218</v>
      </c>
    </row>
    <row r="30" spans="1:10">
      <c r="A30" s="153" t="s">
        <v>350</v>
      </c>
      <c r="B30" s="113" t="s">
        <v>326</v>
      </c>
      <c r="C30">
        <v>5</v>
      </c>
      <c r="D30">
        <v>15.875</v>
      </c>
      <c r="E30">
        <v>20</v>
      </c>
      <c r="F30" s="144">
        <f>'mat properties'!$H$5</f>
        <v>2.73</v>
      </c>
      <c r="G30">
        <f t="shared" si="2"/>
        <v>3.5659530987504775</v>
      </c>
      <c r="H30">
        <v>8</v>
      </c>
      <c r="I30">
        <f>(F30*G30*H30)/1000</f>
        <v>7.7880415676710432E-2</v>
      </c>
    </row>
    <row r="31" spans="1:10">
      <c r="I31">
        <f>SUM(I26:I30)</f>
        <v>3.9022863652600979</v>
      </c>
      <c r="J31" s="113" t="s">
        <v>356</v>
      </c>
    </row>
    <row r="33" spans="1:14" ht="38.25">
      <c r="I33" s="118" t="s">
        <v>362</v>
      </c>
    </row>
    <row r="34" spans="1:14" ht="38.25">
      <c r="A34" s="154" t="s">
        <v>357</v>
      </c>
      <c r="B34">
        <v>0.5</v>
      </c>
      <c r="F34" s="113" t="s">
        <v>361</v>
      </c>
    </row>
    <row r="35" spans="1:14" ht="25.5">
      <c r="A35" s="154" t="s">
        <v>358</v>
      </c>
      <c r="B35">
        <v>5.28E-2</v>
      </c>
      <c r="F35">
        <v>132</v>
      </c>
      <c r="I35">
        <f>F35*$B$34*B35</f>
        <v>3.4847999999999999</v>
      </c>
    </row>
    <row r="36" spans="1:14" ht="25.5">
      <c r="A36" s="154" t="s">
        <v>359</v>
      </c>
      <c r="B36">
        <v>0.16439999999999999</v>
      </c>
      <c r="F36">
        <v>2</v>
      </c>
      <c r="I36">
        <f t="shared" ref="I36:I37" si="3">F36*$B$34*B36</f>
        <v>0.16439999999999999</v>
      </c>
    </row>
    <row r="37" spans="1:14" ht="25.5">
      <c r="A37" s="154" t="s">
        <v>360</v>
      </c>
      <c r="B37">
        <v>1.985E-2</v>
      </c>
      <c r="F37">
        <v>66</v>
      </c>
      <c r="I37">
        <f t="shared" si="3"/>
        <v>0.65505000000000002</v>
      </c>
    </row>
    <row r="38" spans="1:14">
      <c r="I38">
        <f>SUM(I35:I37)</f>
        <v>4.3042499999999997</v>
      </c>
      <c r="J38" s="113" t="s">
        <v>363</v>
      </c>
    </row>
    <row r="39" spans="1:14">
      <c r="I39">
        <f>I38/2</f>
        <v>2.1521249999999998</v>
      </c>
      <c r="J39" s="113" t="s">
        <v>364</v>
      </c>
    </row>
    <row r="40" spans="1:14" ht="51">
      <c r="A40" s="154" t="s">
        <v>366</v>
      </c>
      <c r="B40">
        <v>2.4079999999999999</v>
      </c>
    </row>
    <row r="41" spans="1:14" ht="25.5">
      <c r="A41" s="154" t="s">
        <v>365</v>
      </c>
      <c r="B41">
        <f>B40*4*(B35*F35+B36*F36+B37*F37)</f>
        <v>82.91707199999999</v>
      </c>
    </row>
    <row r="42" spans="1:14">
      <c r="I42">
        <f>I23+(I31/2)+I39</f>
        <v>24.621964168001526</v>
      </c>
      <c r="J42" s="113" t="s">
        <v>367</v>
      </c>
      <c r="N42" s="113" t="s">
        <v>371</v>
      </c>
    </row>
    <row r="43" spans="1:14">
      <c r="I43">
        <f>I31+(I39*3)+I23</f>
        <v>30.877357350631573</v>
      </c>
      <c r="J43" s="113" t="s">
        <v>368</v>
      </c>
    </row>
    <row r="44" spans="1:14">
      <c r="I44">
        <f>I23+I31+(I39*5)</f>
        <v>35.181607350631573</v>
      </c>
      <c r="J44" s="113" t="s">
        <v>369</v>
      </c>
    </row>
    <row r="45" spans="1:14">
      <c r="I45">
        <f>(B41/2)+I23+(I31/2)+I39*3</f>
        <v>70.384750168001517</v>
      </c>
      <c r="J45" s="113" t="s">
        <v>370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2:I29"/>
  <sheetViews>
    <sheetView workbookViewId="0">
      <selection activeCell="H24" sqref="H24"/>
    </sheetView>
  </sheetViews>
  <sheetFormatPr defaultRowHeight="12.75"/>
  <cols>
    <col min="1" max="1" width="30" customWidth="1"/>
    <col min="2" max="2" width="12.42578125" bestFit="1" customWidth="1"/>
    <col min="5" max="5" width="17.42578125" customWidth="1"/>
    <col min="6" max="6" width="24.85546875" customWidth="1"/>
    <col min="8" max="8" width="24" customWidth="1"/>
    <col min="9" max="9" width="21.140625" customWidth="1"/>
  </cols>
  <sheetData>
    <row r="2" spans="1:9" ht="18">
      <c r="A2" s="73" t="s">
        <v>424</v>
      </c>
      <c r="B2" s="73"/>
      <c r="C2" s="73"/>
    </row>
    <row r="3" spans="1:9" ht="13.5" thickBot="1"/>
    <row r="4" spans="1:9" ht="27" thickTop="1" thickBot="1">
      <c r="A4" s="185" t="s">
        <v>467</v>
      </c>
      <c r="B4" s="145">
        <f>0.3/3600</f>
        <v>8.3333333333333331E-5</v>
      </c>
      <c r="C4" s="139" t="s">
        <v>459</v>
      </c>
      <c r="D4" s="179"/>
    </row>
    <row r="5" spans="1:9" ht="27.75" thickTop="1">
      <c r="A5" s="183" t="s">
        <v>426</v>
      </c>
      <c r="B5" s="41">
        <v>101325</v>
      </c>
      <c r="C5" s="113" t="s">
        <v>425</v>
      </c>
      <c r="H5" s="185" t="s">
        <v>336</v>
      </c>
      <c r="I5" s="145">
        <v>8.3150000000000002E-2</v>
      </c>
    </row>
    <row r="6" spans="1:9" ht="38.25">
      <c r="A6" s="183" t="s">
        <v>246</v>
      </c>
      <c r="B6" s="41">
        <f>'mat properties'!V5</f>
        <v>0.87</v>
      </c>
      <c r="H6" s="183" t="s">
        <v>454</v>
      </c>
      <c r="I6" s="41">
        <v>8.5300000000000001E-2</v>
      </c>
    </row>
    <row r="7" spans="1:9" ht="25.5">
      <c r="A7" s="15" t="s">
        <v>247</v>
      </c>
      <c r="B7" s="41">
        <v>0.1</v>
      </c>
      <c r="H7" s="186" t="s">
        <v>455</v>
      </c>
      <c r="I7" s="41">
        <v>1010</v>
      </c>
    </row>
    <row r="8" spans="1:9" ht="27">
      <c r="A8" s="183" t="s">
        <v>427</v>
      </c>
      <c r="B8" s="41">
        <f>B6*B7*9.806*10</f>
        <v>8.5312200000000011</v>
      </c>
      <c r="H8" s="186" t="s">
        <v>456</v>
      </c>
      <c r="I8" s="41">
        <f>I7+I6</f>
        <v>1010.0853</v>
      </c>
    </row>
    <row r="9" spans="1:9" ht="14.25">
      <c r="A9" s="183" t="s">
        <v>428</v>
      </c>
      <c r="B9" s="41">
        <v>0.996</v>
      </c>
      <c r="H9" s="183" t="s">
        <v>333</v>
      </c>
      <c r="I9" s="41">
        <v>293</v>
      </c>
    </row>
    <row r="10" spans="1:9">
      <c r="A10" s="146" t="s">
        <v>245</v>
      </c>
      <c r="B10" s="41">
        <f>(PI()*B9^2*B8)/4</f>
        <v>6.6469084898555755</v>
      </c>
      <c r="H10" s="183" t="s">
        <v>334</v>
      </c>
      <c r="I10" s="41">
        <v>39.94</v>
      </c>
    </row>
    <row r="11" spans="1:9" ht="27">
      <c r="A11" s="183" t="s">
        <v>450</v>
      </c>
      <c r="B11" s="41">
        <v>2</v>
      </c>
      <c r="H11" s="183" t="s">
        <v>335</v>
      </c>
      <c r="I11" s="41">
        <v>44.01</v>
      </c>
    </row>
    <row r="12" spans="1:9">
      <c r="A12" s="146" t="s">
        <v>449</v>
      </c>
      <c r="B12" s="41">
        <v>102</v>
      </c>
      <c r="H12" s="187" t="s">
        <v>331</v>
      </c>
      <c r="I12" s="147">
        <v>0.4</v>
      </c>
    </row>
    <row r="13" spans="1:9" ht="23.25">
      <c r="A13" s="146" t="s">
        <v>466</v>
      </c>
      <c r="B13" s="41">
        <f>(PI()*B12^2*B11)/4</f>
        <v>16342.564983974104</v>
      </c>
      <c r="H13" s="187" t="s">
        <v>332</v>
      </c>
      <c r="I13" s="147">
        <v>0.6</v>
      </c>
    </row>
    <row r="14" spans="1:9" ht="39">
      <c r="A14" s="183" t="s">
        <v>460</v>
      </c>
      <c r="B14" s="41">
        <f>'mat properties'!B55</f>
        <v>1.7399999999999998E-3</v>
      </c>
      <c r="H14" s="183" t="s">
        <v>337</v>
      </c>
      <c r="I14" s="41">
        <f>((I12*0.0018)/I10)/(  ((I12*0.0018)/I10)+((I13*0.0017)/I11))</f>
        <v>0.4375113909369564</v>
      </c>
    </row>
    <row r="15" spans="1:9" ht="21">
      <c r="A15" s="183" t="s">
        <v>453</v>
      </c>
      <c r="B15" s="41">
        <f>B14*B13</f>
        <v>28.436063072114937</v>
      </c>
      <c r="H15" s="183" t="s">
        <v>338</v>
      </c>
      <c r="I15" s="41">
        <f>((I13*0.0017)/I11)/(  ((I13*0.0017)/I11)+((I12*0.0018)/I10))</f>
        <v>0.56248860906304354</v>
      </c>
    </row>
    <row r="16" spans="1:9" ht="25.5">
      <c r="A16" s="183" t="s">
        <v>461</v>
      </c>
      <c r="B16" s="41">
        <v>1E-3</v>
      </c>
      <c r="H16" s="183" t="s">
        <v>458</v>
      </c>
      <c r="I16" s="41">
        <f>(I14*I10)+(I15*I11)</f>
        <v>42.229328638886585</v>
      </c>
    </row>
    <row r="17" spans="1:3" ht="14.25">
      <c r="A17" s="183" t="s">
        <v>462</v>
      </c>
      <c r="B17" s="41">
        <f>PI()*B16^2/4</f>
        <v>7.8539816339744823E-7</v>
      </c>
    </row>
    <row r="18" spans="1:3">
      <c r="A18" s="183" t="s">
        <v>463</v>
      </c>
      <c r="B18" s="41">
        <v>7</v>
      </c>
    </row>
    <row r="19" spans="1:3">
      <c r="A19" s="183" t="s">
        <v>464</v>
      </c>
      <c r="B19" s="41">
        <f>B17*B18</f>
        <v>5.4977871437821373E-6</v>
      </c>
    </row>
    <row r="20" spans="1:3" ht="14.25">
      <c r="A20" s="183" t="s">
        <v>465</v>
      </c>
      <c r="B20" s="41">
        <v>295</v>
      </c>
    </row>
    <row r="21" spans="1:3" ht="35.25">
      <c r="A21" s="183" t="s">
        <v>475</v>
      </c>
      <c r="B21" s="41">
        <f>'mat properties'!B54</f>
        <v>1.9690107013312047E-3</v>
      </c>
    </row>
    <row r="22" spans="1:3" ht="20.25">
      <c r="A22" s="186" t="s">
        <v>468</v>
      </c>
      <c r="B22" s="41">
        <f>(B4*B13)/(B14*B19*B21*B20*1000000000)</f>
        <v>0.2450934541081114</v>
      </c>
    </row>
    <row r="23" spans="1:3" ht="14.25">
      <c r="A23" s="186" t="s">
        <v>470</v>
      </c>
      <c r="B23" s="41">
        <f>(0.5*B14*B22^2)*1000</f>
        <v>5.2261597084581064E-2</v>
      </c>
      <c r="C23" s="113" t="s">
        <v>469</v>
      </c>
    </row>
    <row r="24" spans="1:3">
      <c r="A24" s="188" t="s">
        <v>471</v>
      </c>
      <c r="B24" s="189">
        <f>B23*0.01</f>
        <v>5.2261597084581068E-4</v>
      </c>
    </row>
    <row r="25" spans="1:3" ht="25.5">
      <c r="A25" s="188" t="s">
        <v>472</v>
      </c>
      <c r="B25" s="190">
        <v>0.1</v>
      </c>
    </row>
    <row r="26" spans="1:3" ht="25.5">
      <c r="A26" s="188" t="s">
        <v>476</v>
      </c>
      <c r="B26" s="190">
        <f>1*(B24/B25)</f>
        <v>5.2261597084581066E-3</v>
      </c>
    </row>
    <row r="27" spans="1:3" ht="30.75">
      <c r="A27" s="183" t="s">
        <v>339</v>
      </c>
      <c r="B27" s="41">
        <f>'mat properties'!B56</f>
        <v>1.9702437805935607E-5</v>
      </c>
    </row>
    <row r="28" spans="1:3" ht="13.5" thickBot="1">
      <c r="A28" s="191" t="s">
        <v>473</v>
      </c>
      <c r="B28" s="42">
        <f>(B14*B22*B16*1000)/B27</f>
        <v>21.645169717000023</v>
      </c>
      <c r="C28" s="113" t="s">
        <v>474</v>
      </c>
    </row>
    <row r="29" spans="1:3" ht="13.5" thickTop="1"/>
  </sheetData>
  <pageMargins left="0.7" right="0.7" top="0.75" bottom="0.75" header="0.3" footer="0.3"/>
  <pageSetup orientation="portrait" r:id="rId1"/>
  <legacyDrawing r:id="rId2"/>
  <oleObjects>
    <oleObject progId="Equation.3" shapeId="28673" r:id="rId3"/>
    <oleObject progId="Equation.3" shapeId="28674" r:id="rId4"/>
    <oleObject progId="Equation.3" shapeId="28675" r:id="rId5"/>
    <oleObject progId="Equation.3" shapeId="28676" r:id="rId6"/>
    <oleObject progId="Equation.3" shapeId="28677" r:id="rId7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5:H29"/>
  <sheetViews>
    <sheetView workbookViewId="0">
      <selection activeCell="F19" sqref="F19:G22"/>
    </sheetView>
  </sheetViews>
  <sheetFormatPr defaultRowHeight="12.75"/>
  <cols>
    <col min="1" max="1" width="37.5703125" customWidth="1"/>
    <col min="6" max="6" width="19.5703125" customWidth="1"/>
  </cols>
  <sheetData>
    <row r="5" spans="1:8" ht="14.25">
      <c r="A5" s="113" t="s">
        <v>246</v>
      </c>
      <c r="B5">
        <v>0.87</v>
      </c>
    </row>
    <row r="6" spans="1:8">
      <c r="A6" t="s">
        <v>247</v>
      </c>
      <c r="B6" s="179">
        <v>0.1</v>
      </c>
      <c r="C6" s="113" t="s">
        <v>437</v>
      </c>
    </row>
    <row r="7" spans="1:8" ht="26.25">
      <c r="A7" s="113" t="s">
        <v>436</v>
      </c>
      <c r="B7">
        <f>0.996/2</f>
        <v>0.498</v>
      </c>
      <c r="C7" s="278"/>
      <c r="D7" s="278"/>
      <c r="E7" s="278"/>
      <c r="F7" s="278"/>
      <c r="G7" s="278"/>
      <c r="H7" s="278"/>
    </row>
    <row r="8" spans="1:8" ht="23.25">
      <c r="A8" s="113" t="s">
        <v>438</v>
      </c>
      <c r="B8">
        <v>600</v>
      </c>
      <c r="C8" s="113" t="s">
        <v>439</v>
      </c>
    </row>
    <row r="9" spans="1:8" ht="34.5">
      <c r="A9" s="118" t="s">
        <v>435</v>
      </c>
      <c r="B9">
        <f>B5*B6*9.806*10</f>
        <v>8.5312200000000011</v>
      </c>
    </row>
    <row r="10" spans="1:8">
      <c r="A10" s="113" t="s">
        <v>245</v>
      </c>
      <c r="B10">
        <f>PI()*B7^2*B9</f>
        <v>6.6469084898555755</v>
      </c>
    </row>
    <row r="11" spans="1:8">
      <c r="A11" s="113"/>
    </row>
    <row r="12" spans="1:8">
      <c r="A12" s="113" t="s">
        <v>440</v>
      </c>
    </row>
    <row r="13" spans="1:8" ht="25.5">
      <c r="A13" s="118" t="s">
        <v>441</v>
      </c>
    </row>
    <row r="14" spans="1:8" ht="61.5">
      <c r="A14" s="118" t="s">
        <v>442</v>
      </c>
      <c r="B14" s="3"/>
    </row>
    <row r="15" spans="1:8" ht="25.5">
      <c r="A15" s="181" t="s">
        <v>443</v>
      </c>
      <c r="B15" s="3"/>
      <c r="C15" s="139" t="s">
        <v>451</v>
      </c>
      <c r="D15" s="179"/>
      <c r="E15" s="179"/>
    </row>
    <row r="16" spans="1:8" ht="41.25" customHeight="1">
      <c r="B16" s="3"/>
    </row>
    <row r="17" spans="1:7" ht="22.5" customHeight="1"/>
    <row r="18" spans="1:7" ht="22.5" customHeight="1">
      <c r="B18" s="3"/>
    </row>
    <row r="19" spans="1:7" ht="40.5">
      <c r="A19" s="180" t="s">
        <v>444</v>
      </c>
      <c r="F19" s="118" t="s">
        <v>450</v>
      </c>
      <c r="G19">
        <v>2</v>
      </c>
    </row>
    <row r="20" spans="1:7" ht="34.5" customHeight="1">
      <c r="F20" s="113" t="s">
        <v>449</v>
      </c>
      <c r="G20">
        <v>102</v>
      </c>
    </row>
    <row r="21" spans="1:7" ht="23.25">
      <c r="A21" s="182" t="s">
        <v>445</v>
      </c>
      <c r="B21">
        <f>(2*B8)/B9</f>
        <v>140.65983528733287</v>
      </c>
      <c r="F21" s="113" t="s">
        <v>448</v>
      </c>
      <c r="G21">
        <f>(PI()*G20^2*G19)/4</f>
        <v>16342.564983974104</v>
      </c>
    </row>
    <row r="22" spans="1:7" ht="27.75">
      <c r="A22" s="182" t="s">
        <v>446</v>
      </c>
      <c r="B22">
        <f>DEGREES(ASIN(   (B7*B9)/(2*B8)  ))</f>
        <v>0.20285362733132475</v>
      </c>
      <c r="F22" s="118" t="s">
        <v>452</v>
      </c>
      <c r="G22">
        <f>'mat properties'!B55</f>
        <v>1.7399999999999998E-3</v>
      </c>
    </row>
    <row r="23" spans="1:7" ht="23.25">
      <c r="A23" s="113" t="s">
        <v>447</v>
      </c>
      <c r="B23">
        <f>B21*(1-COS(RADIANS(B22)))*1000</f>
        <v>0.88157638131517879</v>
      </c>
    </row>
    <row r="25" spans="1:7">
      <c r="A25" s="113"/>
    </row>
    <row r="27" spans="1:7">
      <c r="A27" s="113"/>
    </row>
    <row r="28" spans="1:7">
      <c r="A28" s="113"/>
    </row>
    <row r="29" spans="1:7">
      <c r="A29" s="113"/>
    </row>
  </sheetData>
  <mergeCells count="1">
    <mergeCell ref="C7:H7"/>
  </mergeCells>
  <pageMargins left="0.7" right="0.7" top="0.75" bottom="0.75" header="0.3" footer="0.3"/>
  <pageSetup orientation="portrait" r:id="rId1"/>
  <drawing r:id="rId2"/>
  <legacyDrawing r:id="rId3"/>
  <oleObjects>
    <oleObject progId="Equation.3" shapeId="26625" r:id="rId4"/>
    <oleObject progId="Equation.3" shapeId="26626" r:id="rId5"/>
    <oleObject progId="Equation.3" shapeId="26627" r:id="rId6"/>
    <oleObject progId="Equation.3" shapeId="26628" r:id="rId7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2:K20"/>
  <sheetViews>
    <sheetView workbookViewId="0">
      <selection activeCell="G23" sqref="G23"/>
    </sheetView>
  </sheetViews>
  <sheetFormatPr defaultRowHeight="12.75"/>
  <cols>
    <col min="1" max="1" width="16.42578125" style="200" customWidth="1"/>
    <col min="2" max="2" width="8.28515625" style="199" customWidth="1"/>
    <col min="3" max="3" width="11.28515625" style="199" customWidth="1"/>
    <col min="4" max="4" width="19.5703125" customWidth="1"/>
    <col min="5" max="5" width="8" bestFit="1" customWidth="1"/>
    <col min="6" max="6" width="7.5703125" style="199" customWidth="1"/>
    <col min="7" max="7" width="8.42578125" style="199" customWidth="1"/>
    <col min="9" max="9" width="15" style="199" customWidth="1"/>
    <col min="10" max="10" width="6.7109375" customWidth="1"/>
  </cols>
  <sheetData>
    <row r="2" spans="1:11" ht="45.75">
      <c r="A2" s="118" t="s">
        <v>487</v>
      </c>
      <c r="B2" s="118" t="s">
        <v>489</v>
      </c>
      <c r="C2" s="118" t="s">
        <v>493</v>
      </c>
      <c r="D2" s="118" t="s">
        <v>513</v>
      </c>
      <c r="E2" s="118" t="s">
        <v>503</v>
      </c>
      <c r="F2" s="118" t="s">
        <v>494</v>
      </c>
      <c r="G2" s="118" t="s">
        <v>490</v>
      </c>
      <c r="I2" s="199" t="s">
        <v>497</v>
      </c>
      <c r="J2" s="113" t="s">
        <v>499</v>
      </c>
      <c r="K2" s="113" t="s">
        <v>501</v>
      </c>
    </row>
    <row r="3" spans="1:11">
      <c r="A3" s="118" t="s">
        <v>504</v>
      </c>
      <c r="B3" s="199">
        <v>1.1499999999999999</v>
      </c>
      <c r="C3" s="199">
        <v>1.21</v>
      </c>
      <c r="D3" s="113" t="s">
        <v>496</v>
      </c>
      <c r="E3">
        <v>2.83</v>
      </c>
      <c r="F3" s="199">
        <v>71.400000000000006</v>
      </c>
      <c r="G3" s="199">
        <v>90</v>
      </c>
    </row>
    <row r="4" spans="1:11" ht="25.5">
      <c r="A4" s="118" t="s">
        <v>495</v>
      </c>
      <c r="B4" s="199">
        <v>1.08</v>
      </c>
      <c r="C4" s="199">
        <v>7.0000000000000007E-2</v>
      </c>
      <c r="D4" t="s">
        <v>496</v>
      </c>
      <c r="E4">
        <v>2.5499999999999998</v>
      </c>
      <c r="F4" s="199">
        <v>63.4</v>
      </c>
      <c r="G4" s="199">
        <v>500</v>
      </c>
      <c r="I4" s="199" t="s">
        <v>498</v>
      </c>
      <c r="J4" s="113" t="s">
        <v>500</v>
      </c>
      <c r="K4" s="113" t="s">
        <v>502</v>
      </c>
    </row>
    <row r="5" spans="1:11" ht="51">
      <c r="A5" s="118" t="s">
        <v>488</v>
      </c>
      <c r="B5" s="199">
        <v>0.91400000000000003</v>
      </c>
      <c r="C5" s="199">
        <v>0.02</v>
      </c>
      <c r="D5" s="113">
        <v>7.67</v>
      </c>
      <c r="E5">
        <v>1.42</v>
      </c>
      <c r="F5" s="199">
        <v>32.700000000000003</v>
      </c>
      <c r="G5" s="199">
        <v>50</v>
      </c>
      <c r="I5" s="118" t="s">
        <v>506</v>
      </c>
      <c r="J5" t="s">
        <v>500</v>
      </c>
      <c r="K5" t="s">
        <v>507</v>
      </c>
    </row>
    <row r="6" spans="1:11">
      <c r="A6" s="118" t="s">
        <v>492</v>
      </c>
      <c r="B6" s="199">
        <v>0.95</v>
      </c>
      <c r="C6" s="199">
        <v>0.04</v>
      </c>
      <c r="D6" s="113">
        <v>0.33</v>
      </c>
      <c r="E6">
        <v>1</v>
      </c>
      <c r="F6" s="118">
        <v>6.89</v>
      </c>
      <c r="G6" s="199">
        <v>30</v>
      </c>
    </row>
    <row r="7" spans="1:11">
      <c r="A7" s="118" t="s">
        <v>314</v>
      </c>
      <c r="C7" s="199">
        <v>2</v>
      </c>
    </row>
    <row r="8" spans="1:11" ht="38.25">
      <c r="A8" s="202" t="s">
        <v>508</v>
      </c>
      <c r="B8" s="199">
        <v>1.4</v>
      </c>
      <c r="D8" s="179">
        <v>0.11</v>
      </c>
    </row>
    <row r="9" spans="1:11">
      <c r="A9" s="118" t="s">
        <v>491</v>
      </c>
    </row>
    <row r="10" spans="1:11">
      <c r="A10" s="118" t="s">
        <v>505</v>
      </c>
    </row>
    <row r="14" spans="1:11" ht="51">
      <c r="A14" s="118" t="s">
        <v>509</v>
      </c>
    </row>
    <row r="15" spans="1:11">
      <c r="A15" s="118" t="s">
        <v>510</v>
      </c>
      <c r="B15" s="199">
        <v>1</v>
      </c>
    </row>
    <row r="16" spans="1:11" ht="18">
      <c r="A16" s="118" t="s">
        <v>514</v>
      </c>
      <c r="B16" s="199">
        <f>2*(PI()/4*B15^2)</f>
        <v>1.5707963267948966</v>
      </c>
    </row>
    <row r="17" spans="1:3" ht="18">
      <c r="A17" s="118" t="s">
        <v>515</v>
      </c>
      <c r="B17" s="199">
        <v>1.4E-2</v>
      </c>
    </row>
    <row r="18" spans="1:3" ht="18">
      <c r="A18" s="118" t="s">
        <v>516</v>
      </c>
      <c r="B18" s="199">
        <v>1</v>
      </c>
    </row>
    <row r="19" spans="1:3" ht="30.75">
      <c r="A19" s="118" t="s">
        <v>517</v>
      </c>
      <c r="B19" s="199">
        <v>6</v>
      </c>
    </row>
    <row r="20" spans="1:3" ht="90">
      <c r="A20" s="201" t="s">
        <v>511</v>
      </c>
      <c r="B20" s="201">
        <f>(D8*B16*B18)/(B17*B19)</f>
        <v>2.0569951898504595</v>
      </c>
      <c r="C20" s="118" t="s">
        <v>512</v>
      </c>
    </row>
  </sheetData>
  <pageMargins left="0.7" right="0.7" top="0.75" bottom="0.75" header="0.3" footer="0.3"/>
  <pageSetup orientation="portrait" r:id="rId1"/>
  <legacyDrawing r:id="rId2"/>
  <oleObjects>
    <oleObject progId="Equation.3" shapeId="30721" r:id="rId3"/>
  </oleObjects>
</worksheet>
</file>

<file path=xl/worksheets/sheet17.xml><?xml version="1.0" encoding="utf-8"?>
<worksheet xmlns="http://schemas.openxmlformats.org/spreadsheetml/2006/main" xmlns:r="http://schemas.openxmlformats.org/officeDocument/2006/relationships">
  <dimension ref="A2:C15"/>
  <sheetViews>
    <sheetView workbookViewId="0">
      <selection activeCell="B16" sqref="B16"/>
    </sheetView>
  </sheetViews>
  <sheetFormatPr defaultRowHeight="12.75"/>
  <cols>
    <col min="1" max="1" width="14.42578125" customWidth="1"/>
    <col min="2" max="2" width="10.5703125" customWidth="1"/>
  </cols>
  <sheetData>
    <row r="2" spans="1:3">
      <c r="A2" s="113" t="s">
        <v>519</v>
      </c>
    </row>
    <row r="4" spans="1:3">
      <c r="C4" s="113" t="s">
        <v>530</v>
      </c>
    </row>
    <row r="5" spans="1:3">
      <c r="A5" s="113" t="s">
        <v>520</v>
      </c>
      <c r="B5">
        <v>25.4</v>
      </c>
      <c r="C5">
        <f>B5/2.54</f>
        <v>10</v>
      </c>
    </row>
    <row r="6" spans="1:3">
      <c r="A6" s="113" t="s">
        <v>521</v>
      </c>
      <c r="B6">
        <f>SQRT( B5^2- ((4*B9)/(PI()*B7*B8)))</f>
        <v>23.11561457420035</v>
      </c>
      <c r="C6">
        <f>B6/2.54</f>
        <v>9.1006356591339959</v>
      </c>
    </row>
    <row r="7" spans="1:3">
      <c r="A7" s="113" t="s">
        <v>522</v>
      </c>
      <c r="B7">
        <v>0.63500000000000001</v>
      </c>
      <c r="C7">
        <f>B7/2.54</f>
        <v>0.25</v>
      </c>
    </row>
    <row r="8" spans="1:3">
      <c r="A8" s="113" t="s">
        <v>523</v>
      </c>
      <c r="B8">
        <v>7.87</v>
      </c>
      <c r="C8" s="113" t="s">
        <v>531</v>
      </c>
    </row>
    <row r="9" spans="1:3">
      <c r="A9" s="113" t="s">
        <v>524</v>
      </c>
      <c r="B9">
        <v>435</v>
      </c>
    </row>
    <row r="11" spans="1:3">
      <c r="A11" s="113" t="s">
        <v>520</v>
      </c>
      <c r="B11">
        <v>25.4</v>
      </c>
      <c r="C11">
        <f>B11/2.54</f>
        <v>10</v>
      </c>
    </row>
    <row r="12" spans="1:3">
      <c r="A12" s="113" t="s">
        <v>521</v>
      </c>
      <c r="B12">
        <v>22.86</v>
      </c>
      <c r="C12">
        <f>B12/2.54</f>
        <v>9</v>
      </c>
    </row>
    <row r="13" spans="1:3">
      <c r="A13" s="113" t="s">
        <v>522</v>
      </c>
      <c r="B13">
        <f>(4*B15)/(PI()*B14*(B11^2-B12^2))</f>
        <v>0.55168914594476193</v>
      </c>
      <c r="C13">
        <f>B13/2.54</f>
        <v>0.21720045115935507</v>
      </c>
    </row>
    <row r="14" spans="1:3">
      <c r="A14" s="113" t="s">
        <v>523</v>
      </c>
      <c r="B14">
        <v>2.73</v>
      </c>
      <c r="C14" s="113" t="s">
        <v>531</v>
      </c>
    </row>
    <row r="15" spans="1:3">
      <c r="A15" s="113" t="s">
        <v>524</v>
      </c>
      <c r="B15">
        <v>145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3:C31"/>
  <sheetViews>
    <sheetView workbookViewId="0">
      <selection activeCell="C14" sqref="C14"/>
    </sheetView>
  </sheetViews>
  <sheetFormatPr defaultRowHeight="12.75"/>
  <cols>
    <col min="1" max="1" width="24.28515625" customWidth="1"/>
  </cols>
  <sheetData>
    <row r="3" spans="1:2">
      <c r="A3" s="113" t="s">
        <v>532</v>
      </c>
    </row>
    <row r="6" spans="1:2">
      <c r="A6" s="113" t="s">
        <v>544</v>
      </c>
      <c r="B6">
        <v>2</v>
      </c>
    </row>
    <row r="7" spans="1:2">
      <c r="A7" s="113" t="s">
        <v>533</v>
      </c>
      <c r="B7">
        <v>0.13600000000000001</v>
      </c>
    </row>
    <row r="8" spans="1:2">
      <c r="A8" s="113" t="s">
        <v>538</v>
      </c>
      <c r="B8">
        <v>1.516</v>
      </c>
    </row>
    <row r="9" spans="1:2">
      <c r="A9" s="113" t="s">
        <v>534</v>
      </c>
      <c r="B9">
        <v>2.5009999999999999</v>
      </c>
    </row>
    <row r="10" spans="1:2">
      <c r="A10" s="113" t="s">
        <v>535</v>
      </c>
      <c r="B10">
        <f>B8+B7</f>
        <v>1.6520000000000001</v>
      </c>
    </row>
    <row r="11" spans="1:2">
      <c r="A11" s="113" t="s">
        <v>536</v>
      </c>
      <c r="B11">
        <f>B9+B7</f>
        <v>2.637</v>
      </c>
    </row>
    <row r="12" spans="1:2" ht="15">
      <c r="A12" s="205" t="s">
        <v>537</v>
      </c>
      <c r="B12" s="205">
        <v>80306</v>
      </c>
    </row>
    <row r="13" spans="1:2">
      <c r="A13" s="113" t="s">
        <v>539</v>
      </c>
      <c r="B13">
        <v>0.6</v>
      </c>
    </row>
    <row r="14" spans="1:2">
      <c r="A14" s="113" t="s">
        <v>540</v>
      </c>
      <c r="B14">
        <v>1.5</v>
      </c>
    </row>
    <row r="15" spans="1:2">
      <c r="A15" s="113" t="s">
        <v>541</v>
      </c>
      <c r="B15">
        <v>4</v>
      </c>
    </row>
    <row r="16" spans="1:2">
      <c r="A16" s="113" t="s">
        <v>542</v>
      </c>
      <c r="B16">
        <v>1.4</v>
      </c>
    </row>
    <row r="17" spans="1:3">
      <c r="A17" s="113" t="s">
        <v>543</v>
      </c>
      <c r="B17">
        <f>(B6-B13)/B15</f>
        <v>0.35</v>
      </c>
    </row>
    <row r="18" spans="1:3">
      <c r="A18" s="113" t="s">
        <v>545</v>
      </c>
      <c r="B18">
        <f>B17+(B9-B8)</f>
        <v>1.335</v>
      </c>
    </row>
    <row r="19" spans="1:3">
      <c r="A19" s="113" t="s">
        <v>547</v>
      </c>
      <c r="B19">
        <f>B13+(B18*B15)</f>
        <v>5.9399999999999995</v>
      </c>
    </row>
    <row r="20" spans="1:3">
      <c r="A20" s="113" t="s">
        <v>546</v>
      </c>
      <c r="B20">
        <f>B13+(B16*B15)</f>
        <v>6.1999999999999993</v>
      </c>
    </row>
    <row r="24" spans="1:3">
      <c r="B24">
        <v>0</v>
      </c>
      <c r="C24">
        <f>B13</f>
        <v>0.6</v>
      </c>
    </row>
    <row r="25" spans="1:3">
      <c r="B25">
        <f>B16</f>
        <v>1.4</v>
      </c>
      <c r="C25">
        <f>B20</f>
        <v>6.1999999999999993</v>
      </c>
    </row>
    <row r="27" spans="1:3">
      <c r="B27">
        <f>B17</f>
        <v>0.35</v>
      </c>
      <c r="C27">
        <v>0</v>
      </c>
    </row>
    <row r="28" spans="1:3">
      <c r="B28">
        <f>B27</f>
        <v>0.35</v>
      </c>
      <c r="C28">
        <f>B6</f>
        <v>2</v>
      </c>
    </row>
    <row r="30" spans="1:3">
      <c r="B30">
        <f>B18</f>
        <v>1.335</v>
      </c>
      <c r="C30">
        <v>0</v>
      </c>
    </row>
    <row r="31" spans="1:3">
      <c r="B31">
        <f>B30</f>
        <v>1.335</v>
      </c>
      <c r="C31">
        <f>B19</f>
        <v>5.9399999999999995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H3:M9"/>
  <sheetViews>
    <sheetView workbookViewId="0">
      <selection activeCell="L18" sqref="L18"/>
    </sheetView>
  </sheetViews>
  <sheetFormatPr defaultRowHeight="12.75"/>
  <sheetData>
    <row r="3" spans="8:13">
      <c r="H3" s="113" t="s">
        <v>549</v>
      </c>
      <c r="L3">
        <v>0.23400000000000001</v>
      </c>
    </row>
    <row r="4" spans="8:13">
      <c r="H4" s="113" t="s">
        <v>550</v>
      </c>
      <c r="L4">
        <v>6.25E-2</v>
      </c>
    </row>
    <row r="5" spans="8:13">
      <c r="H5" s="113" t="s">
        <v>548</v>
      </c>
      <c r="L5">
        <f>(L3/L4)*60</f>
        <v>224.64000000000001</v>
      </c>
    </row>
    <row r="6" spans="8:13">
      <c r="H6" s="113" t="s">
        <v>551</v>
      </c>
      <c r="L6">
        <v>0.28599999999999998</v>
      </c>
    </row>
    <row r="7" spans="8:13">
      <c r="H7" s="113" t="s">
        <v>552</v>
      </c>
      <c r="L7">
        <v>52.08</v>
      </c>
    </row>
    <row r="8" spans="8:13">
      <c r="H8" s="113" t="s">
        <v>553</v>
      </c>
      <c r="L8">
        <v>1</v>
      </c>
    </row>
    <row r="9" spans="8:13">
      <c r="H9" s="113" t="s">
        <v>554</v>
      </c>
      <c r="L9">
        <f>(4760000*L6*L8)/L7^2</f>
        <v>501.91599359133181</v>
      </c>
      <c r="M9" s="113" t="s">
        <v>555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3:Q161"/>
  <sheetViews>
    <sheetView tabSelected="1" topLeftCell="L61" zoomScaleNormal="100" workbookViewId="0">
      <selection activeCell="C29" sqref="C29"/>
    </sheetView>
  </sheetViews>
  <sheetFormatPr defaultRowHeight="12.75"/>
  <cols>
    <col min="1" max="1" width="32.140625" customWidth="1"/>
    <col min="2" max="2" width="16" customWidth="1"/>
    <col min="3" max="3" width="18" customWidth="1"/>
    <col min="4" max="4" width="8" customWidth="1"/>
    <col min="5" max="5" width="9.85546875" customWidth="1"/>
    <col min="6" max="6" width="12.28515625" customWidth="1"/>
  </cols>
  <sheetData>
    <row r="23" spans="1:17" ht="18">
      <c r="A23" s="73"/>
    </row>
    <row r="27" spans="1:17" ht="16.5" thickBot="1">
      <c r="A27" t="s">
        <v>179</v>
      </c>
      <c r="B27" s="74">
        <v>75</v>
      </c>
    </row>
    <row r="28" spans="1:17" ht="30.75" customHeight="1" thickTop="1" thickBot="1">
      <c r="A28" s="57"/>
      <c r="B28" s="290" t="s">
        <v>180</v>
      </c>
      <c r="C28" s="113" t="s">
        <v>714</v>
      </c>
      <c r="D28" s="222" t="s">
        <v>181</v>
      </c>
      <c r="E28" s="58" t="s">
        <v>182</v>
      </c>
    </row>
    <row r="29" spans="1:17" ht="13.5" thickTop="1">
      <c r="A29" s="59"/>
      <c r="B29" s="285">
        <v>8</v>
      </c>
      <c r="C29" t="s">
        <v>715</v>
      </c>
      <c r="D29" s="225">
        <f>$G$30*(SIN(RADIANS(B29)))</f>
        <v>2.7834620192013086</v>
      </c>
      <c r="E29" s="60">
        <f>$G$30*SIN(RADIANS(B29-90))</f>
        <v>-19.805361374831406</v>
      </c>
      <c r="F29" s="297" t="s">
        <v>709</v>
      </c>
      <c r="G29" s="298" t="s">
        <v>708</v>
      </c>
      <c r="I29" s="113" t="s">
        <v>707</v>
      </c>
      <c r="J29">
        <v>33</v>
      </c>
      <c r="L29" s="78">
        <v>22</v>
      </c>
      <c r="M29" s="78"/>
      <c r="N29" s="78"/>
      <c r="O29" s="78"/>
      <c r="P29" s="78"/>
      <c r="Q29" s="78"/>
    </row>
    <row r="30" spans="1:17">
      <c r="A30" s="79" t="s">
        <v>183</v>
      </c>
      <c r="B30" s="285">
        <v>40</v>
      </c>
      <c r="D30" s="225">
        <f>$G$30*(SIN(RADIANS(B30)))</f>
        <v>12.855752193730785</v>
      </c>
      <c r="E30" s="60">
        <f>$G$30*SIN(RADIANS(B30-90))</f>
        <v>-15.32088886237956</v>
      </c>
      <c r="F30" s="85">
        <v>1</v>
      </c>
      <c r="G30" s="86">
        <v>20</v>
      </c>
      <c r="I30" t="s">
        <v>706</v>
      </c>
      <c r="J30" t="s">
        <v>181</v>
      </c>
      <c r="K30" t="s">
        <v>182</v>
      </c>
      <c r="L30" s="113" t="s">
        <v>181</v>
      </c>
      <c r="M30" s="119" t="s">
        <v>182</v>
      </c>
    </row>
    <row r="31" spans="1:17">
      <c r="A31" s="59"/>
      <c r="B31" s="285">
        <v>320</v>
      </c>
      <c r="D31" s="225">
        <f>$G$30*(SIN(RADIANS(B31)))</f>
        <v>-12.855752193730792</v>
      </c>
      <c r="E31" s="60">
        <f>$G$30*SIN(RADIANS(B31-90))</f>
        <v>-15.320888862379558</v>
      </c>
      <c r="F31" s="85">
        <v>2</v>
      </c>
      <c r="G31" s="86">
        <f>G30+2.5</f>
        <v>22.5</v>
      </c>
      <c r="J31">
        <v>0</v>
      </c>
      <c r="K31">
        <v>0</v>
      </c>
      <c r="L31">
        <f>J31*$L$29/$J$29</f>
        <v>0</v>
      </c>
      <c r="M31">
        <f>K31*$L$29/$J$29</f>
        <v>0</v>
      </c>
    </row>
    <row r="32" spans="1:17">
      <c r="A32" s="59"/>
      <c r="B32" s="285">
        <v>352</v>
      </c>
      <c r="D32" s="225">
        <f>$G$30*(SIN(RADIANS(B32)))</f>
        <v>-2.7834620192013175</v>
      </c>
      <c r="E32" s="60">
        <f>$G$30*SIN(RADIANS(B32-90))</f>
        <v>-19.805361374831406</v>
      </c>
      <c r="F32" s="85">
        <v>3</v>
      </c>
      <c r="G32" s="86">
        <f t="shared" ref="G32:G35" si="0">G31+2.5</f>
        <v>25</v>
      </c>
      <c r="I32">
        <v>-4</v>
      </c>
      <c r="J32">
        <f>$J$29*COS(RADIANS(I32))</f>
        <v>32.9196136585742</v>
      </c>
      <c r="K32">
        <f>$J$29*SIN(RADIANS(I32))</f>
        <v>-2.3019636335561349</v>
      </c>
      <c r="L32">
        <f t="shared" ref="L32:L49" si="1">J32*$L$29/$J$29</f>
        <v>21.946409105716132</v>
      </c>
      <c r="M32">
        <f t="shared" ref="M32:M49" si="2">K32*$L$29/$J$29</f>
        <v>-1.5346424223707564</v>
      </c>
    </row>
    <row r="33" spans="1:13">
      <c r="A33" s="59"/>
      <c r="B33" s="286">
        <v>47.3</v>
      </c>
      <c r="D33" s="225">
        <f>$G$30*(SIN(RADIANS(B33)))</f>
        <v>14.698291902999197</v>
      </c>
      <c r="E33" s="60">
        <f>$G$30*SIN(RADIANS(B33-90))</f>
        <v>-13.563193397361413</v>
      </c>
      <c r="F33" s="85">
        <v>4</v>
      </c>
      <c r="G33" s="86">
        <f t="shared" si="0"/>
        <v>27.5</v>
      </c>
      <c r="I33">
        <v>4</v>
      </c>
      <c r="J33">
        <f>$J$29*COS(RADIANS(I33))</f>
        <v>32.9196136585742</v>
      </c>
      <c r="K33">
        <f>$J$29*SIN(RADIANS(I33))</f>
        <v>2.3019636335561349</v>
      </c>
      <c r="L33">
        <f t="shared" si="1"/>
        <v>21.946409105716132</v>
      </c>
      <c r="M33">
        <f t="shared" si="2"/>
        <v>1.5346424223707564</v>
      </c>
    </row>
    <row r="34" spans="1:13">
      <c r="A34" s="59"/>
      <c r="B34" s="286">
        <v>63.1</v>
      </c>
      <c r="D34" s="225">
        <f>$G$30*(SIN(RADIANS(B34)))</f>
        <v>17.835950592104282</v>
      </c>
      <c r="E34" s="60">
        <f>$G$30*SIN(RADIANS(B34-90))</f>
        <v>-9.0486941862356538</v>
      </c>
      <c r="F34" s="85">
        <v>5</v>
      </c>
      <c r="G34" s="86">
        <f t="shared" si="0"/>
        <v>30</v>
      </c>
      <c r="J34">
        <v>0</v>
      </c>
      <c r="K34">
        <v>0</v>
      </c>
      <c r="L34">
        <f t="shared" si="1"/>
        <v>0</v>
      </c>
      <c r="M34">
        <f t="shared" si="2"/>
        <v>0</v>
      </c>
    </row>
    <row r="35" spans="1:13">
      <c r="A35" s="59"/>
      <c r="B35" s="286">
        <v>82.1</v>
      </c>
      <c r="D35" s="225">
        <f>$G$30*(SIN(RADIANS(B35)))</f>
        <v>19.810189264766176</v>
      </c>
      <c r="E35" s="60">
        <f>$G$30*SIN(RADIANS(B35-90))</f>
        <v>-2.7488909207429351</v>
      </c>
      <c r="F35" s="85">
        <v>6</v>
      </c>
      <c r="G35" s="86">
        <f t="shared" si="0"/>
        <v>32.5</v>
      </c>
      <c r="I35">
        <f>I32+60</f>
        <v>56</v>
      </c>
      <c r="J35">
        <f>$J$29*COS(RADIANS(I35))</f>
        <v>18.453365814534646</v>
      </c>
      <c r="K35">
        <f>$J$29*SIN(RADIANS(I35))</f>
        <v>27.358239894316377</v>
      </c>
      <c r="L35">
        <f t="shared" si="1"/>
        <v>12.30224387635643</v>
      </c>
      <c r="M35">
        <f t="shared" si="2"/>
        <v>18.238826596210917</v>
      </c>
    </row>
    <row r="36" spans="1:13">
      <c r="A36" s="59"/>
      <c r="B36" s="286">
        <v>103.1</v>
      </c>
      <c r="D36" s="225">
        <f>$G$30*(SIN(RADIANS(B36)))</f>
        <v>19.479519345581032</v>
      </c>
      <c r="E36" s="60">
        <f>$G$30*SIN(RADIANS(B36-90))</f>
        <v>4.5330261487370995</v>
      </c>
      <c r="F36" s="85"/>
      <c r="G36" s="86"/>
      <c r="I36">
        <f>I33+60</f>
        <v>64</v>
      </c>
      <c r="J36">
        <f>$J$29*COS(RADIANS(I36))</f>
        <v>14.466247844039556</v>
      </c>
      <c r="K36">
        <f>$J$29*SIN(RADIANS(I36))</f>
        <v>29.660203527872511</v>
      </c>
      <c r="L36">
        <f t="shared" si="1"/>
        <v>9.6441652293597038</v>
      </c>
      <c r="M36">
        <f t="shared" si="2"/>
        <v>19.773469018581675</v>
      </c>
    </row>
    <row r="37" spans="1:13" ht="13.5" thickBot="1">
      <c r="A37" s="291" t="s">
        <v>711</v>
      </c>
      <c r="B37" s="286">
        <v>112.1</v>
      </c>
      <c r="D37" s="225">
        <f>$G$30*(SIN(RADIANS(B37)))</f>
        <v>18.530572617436746</v>
      </c>
      <c r="E37" s="60">
        <f>$G$30*SIN(RADIANS(B37-90))</f>
        <v>7.5244852627873104</v>
      </c>
      <c r="F37" s="90"/>
      <c r="G37" s="91"/>
      <c r="J37">
        <v>0</v>
      </c>
      <c r="K37">
        <v>0</v>
      </c>
      <c r="L37">
        <f t="shared" si="1"/>
        <v>0</v>
      </c>
      <c r="M37">
        <f t="shared" si="2"/>
        <v>0</v>
      </c>
    </row>
    <row r="38" spans="1:13" ht="13.5" thickTop="1">
      <c r="A38" s="59"/>
      <c r="B38" s="286">
        <v>128.1</v>
      </c>
      <c r="D38" s="225">
        <f>$G$30*(SIN(RADIANS(B38)))</f>
        <v>15.738700439226747</v>
      </c>
      <c r="E38" s="60">
        <f>$G$30*SIN(RADIANS(B38-90))</f>
        <v>12.340717502814972</v>
      </c>
      <c r="I38">
        <f>I35+60</f>
        <v>116</v>
      </c>
      <c r="J38">
        <f>$J$29*COS(RADIANS(I38))</f>
        <v>-14.466247844039557</v>
      </c>
      <c r="K38">
        <f>$J$29*SIN(RADIANS(I38))</f>
        <v>29.660203527872508</v>
      </c>
      <c r="L38">
        <f t="shared" si="1"/>
        <v>-9.6441652293597038</v>
      </c>
      <c r="M38">
        <f t="shared" si="2"/>
        <v>19.773469018581672</v>
      </c>
    </row>
    <row r="39" spans="1:13">
      <c r="A39" s="59"/>
      <c r="B39" s="286">
        <v>141.1</v>
      </c>
      <c r="D39" s="225">
        <f>$G$30*(SIN(RADIANS(B39)))</f>
        <v>12.559261152986759</v>
      </c>
      <c r="E39" s="60">
        <f>$G$30*SIN(RADIANS(B39-90))</f>
        <v>15.564862970520419</v>
      </c>
      <c r="I39">
        <f>I36+60</f>
        <v>124</v>
      </c>
      <c r="J39">
        <f>$J$29*COS(RADIANS(I39))</f>
        <v>-18.453365814534642</v>
      </c>
      <c r="K39">
        <f>$J$29*SIN(RADIANS(I39))</f>
        <v>27.358239894316377</v>
      </c>
      <c r="L39">
        <f t="shared" si="1"/>
        <v>-12.302243876356428</v>
      </c>
      <c r="M39">
        <f t="shared" si="2"/>
        <v>18.238826596210917</v>
      </c>
    </row>
    <row r="40" spans="1:13">
      <c r="A40" s="59"/>
      <c r="B40" s="286">
        <v>160</v>
      </c>
      <c r="D40" s="225">
        <f>$G$30*(SIN(RADIANS(B40)))</f>
        <v>6.8404028665133776</v>
      </c>
      <c r="E40" s="60">
        <f>$G$30*SIN(RADIANS(B40-90))</f>
        <v>18.793852415718167</v>
      </c>
      <c r="F40" s="46"/>
      <c r="G40" s="46"/>
      <c r="J40">
        <v>0</v>
      </c>
      <c r="K40">
        <v>0</v>
      </c>
      <c r="L40">
        <f t="shared" si="1"/>
        <v>0</v>
      </c>
      <c r="M40">
        <f t="shared" si="2"/>
        <v>0</v>
      </c>
    </row>
    <row r="41" spans="1:13">
      <c r="A41" s="59"/>
      <c r="B41" s="286">
        <v>286.89999999999998</v>
      </c>
      <c r="D41" s="225">
        <f>$G$30*(SIN(RADIANS(B41)))</f>
        <v>-19.136271681152152</v>
      </c>
      <c r="E41" s="60">
        <f>$G$30*SIN(RADIANS(B41-90))</f>
        <v>-5.814043871965044</v>
      </c>
      <c r="F41" s="46"/>
      <c r="G41" s="46"/>
      <c r="I41">
        <f>I38+60</f>
        <v>176</v>
      </c>
      <c r="J41">
        <f>$J$29*COS(RADIANS(I41))</f>
        <v>-32.9196136585742</v>
      </c>
      <c r="K41">
        <f>$J$29*SIN(RADIANS(I41))</f>
        <v>2.3019636335561424</v>
      </c>
      <c r="L41">
        <f t="shared" si="1"/>
        <v>-21.946409105716132</v>
      </c>
      <c r="M41">
        <f t="shared" si="2"/>
        <v>1.5346424223707618</v>
      </c>
    </row>
    <row r="42" spans="1:13">
      <c r="A42" s="59"/>
      <c r="B42" s="288">
        <v>73</v>
      </c>
      <c r="D42" s="225">
        <f>$G$30*(SIN(RADIANS(B42)))</f>
        <v>19.126095119260707</v>
      </c>
      <c r="E42" s="60">
        <f>$G$30*SIN(RADIANS(B42-90))</f>
        <v>-5.8474340944547354</v>
      </c>
      <c r="F42" s="46"/>
      <c r="G42" s="46"/>
      <c r="I42">
        <f>I39+60</f>
        <v>184</v>
      </c>
      <c r="J42">
        <f>$J$29*COS(RADIANS(I42))</f>
        <v>-32.9196136585742</v>
      </c>
      <c r="K42">
        <f>$J$29*SIN(RADIANS(I42))</f>
        <v>-2.301963633556134</v>
      </c>
      <c r="L42">
        <f t="shared" si="1"/>
        <v>-21.946409105716132</v>
      </c>
      <c r="M42">
        <f t="shared" si="2"/>
        <v>-1.534642422370756</v>
      </c>
    </row>
    <row r="43" spans="1:13">
      <c r="A43" s="59"/>
      <c r="B43" s="288">
        <v>200</v>
      </c>
      <c r="D43" s="225">
        <f>$G$30*(SIN(RADIANS(B43)))</f>
        <v>-6.8404028665133731</v>
      </c>
      <c r="E43" s="60">
        <f>$G$30*SIN(RADIANS(B43-90))</f>
        <v>18.79385241571817</v>
      </c>
      <c r="F43" s="46"/>
      <c r="G43" s="46"/>
      <c r="J43">
        <v>0</v>
      </c>
      <c r="K43">
        <v>0</v>
      </c>
      <c r="L43">
        <f t="shared" si="1"/>
        <v>0</v>
      </c>
      <c r="M43">
        <f t="shared" si="2"/>
        <v>0</v>
      </c>
    </row>
    <row r="44" spans="1:13">
      <c r="A44" s="59"/>
      <c r="B44" s="288">
        <v>219</v>
      </c>
      <c r="D44" s="225">
        <f>$G$30*(SIN(RADIANS(B44)))</f>
        <v>-12.586407820996753</v>
      </c>
      <c r="E44" s="60">
        <f>$G$30*SIN(RADIANS(B44-90))</f>
        <v>15.54291922913942</v>
      </c>
      <c r="F44" s="46"/>
      <c r="G44" s="46"/>
      <c r="I44">
        <f>I41+60</f>
        <v>236</v>
      </c>
      <c r="J44">
        <f>$J$29*COS(RADIANS(I44))</f>
        <v>-18.453365814534635</v>
      </c>
      <c r="K44">
        <f>$J$29*SIN(RADIANS(I44))</f>
        <v>-27.35823989431638</v>
      </c>
      <c r="L44">
        <f t="shared" si="1"/>
        <v>-12.302243876356423</v>
      </c>
      <c r="M44">
        <f t="shared" si="2"/>
        <v>-18.23882659621092</v>
      </c>
    </row>
    <row r="45" spans="1:13">
      <c r="A45" s="292" t="s">
        <v>704</v>
      </c>
      <c r="B45" s="288">
        <v>232</v>
      </c>
      <c r="D45" s="225">
        <f>$G$30*(SIN(RADIANS(B45)))</f>
        <v>-15.760215072134443</v>
      </c>
      <c r="E45" s="60">
        <f>$G$30*SIN(RADIANS(B45-90))</f>
        <v>12.313229506513167</v>
      </c>
      <c r="F45" s="46"/>
      <c r="G45" s="46"/>
      <c r="I45">
        <f>I42+60</f>
        <v>244</v>
      </c>
      <c r="J45">
        <f>$J$29*COS(RADIANS(I45))</f>
        <v>-14.466247844039565</v>
      </c>
      <c r="K45">
        <f>$J$29*SIN(RADIANS(I45))</f>
        <v>-29.660203527872504</v>
      </c>
      <c r="L45">
        <f t="shared" si="1"/>
        <v>-9.6441652293597091</v>
      </c>
      <c r="M45">
        <f t="shared" si="2"/>
        <v>-19.773469018581672</v>
      </c>
    </row>
    <row r="46" spans="1:13" ht="15" customHeight="1">
      <c r="A46" s="59"/>
      <c r="B46" s="288">
        <v>248</v>
      </c>
      <c r="D46" s="225">
        <f>$G$30*(SIN(RADIANS(B46)))</f>
        <v>-18.543677091335745</v>
      </c>
      <c r="E46" s="60">
        <f>$G$30*SIN(RADIANS(B46-90))</f>
        <v>7.4921318683182445</v>
      </c>
      <c r="F46" s="46"/>
      <c r="G46" s="46"/>
      <c r="J46">
        <v>0</v>
      </c>
      <c r="K46">
        <v>0</v>
      </c>
      <c r="L46">
        <f t="shared" si="1"/>
        <v>0</v>
      </c>
      <c r="M46">
        <f t="shared" si="2"/>
        <v>0</v>
      </c>
    </row>
    <row r="47" spans="1:13">
      <c r="A47" s="59"/>
      <c r="B47" s="288">
        <v>257</v>
      </c>
      <c r="D47" s="225">
        <f>$G$30*(SIN(RADIANS(B47)))</f>
        <v>-19.487401295704704</v>
      </c>
      <c r="E47" s="60">
        <f>$G$30*SIN(RADIANS(B47-90))</f>
        <v>4.4990210868773044</v>
      </c>
      <c r="F47" s="46"/>
      <c r="G47" s="46"/>
      <c r="I47">
        <f>I44+60</f>
        <v>296</v>
      </c>
      <c r="J47">
        <f>$J$29*COS(RADIANS(I47))</f>
        <v>14.466247844039554</v>
      </c>
      <c r="K47">
        <f>$J$29*SIN(RADIANS(I47))</f>
        <v>-29.660203527872511</v>
      </c>
      <c r="L47">
        <f t="shared" si="1"/>
        <v>9.644165229359702</v>
      </c>
      <c r="M47">
        <f t="shared" si="2"/>
        <v>-19.773469018581675</v>
      </c>
    </row>
    <row r="48" spans="1:13">
      <c r="A48" s="59"/>
      <c r="B48" s="288">
        <v>278</v>
      </c>
      <c r="D48" s="225">
        <f>$G$30*(SIN(RADIANS(B48)))</f>
        <v>-19.805361374831406</v>
      </c>
      <c r="E48" s="60">
        <f>$G$30*SIN(RADIANS(B48-90))</f>
        <v>-2.7834620192013104</v>
      </c>
      <c r="F48" s="46"/>
      <c r="G48" s="46"/>
      <c r="I48">
        <f>I45+60</f>
        <v>304</v>
      </c>
      <c r="J48">
        <f>$J$29*COS(RADIANS(I48))</f>
        <v>18.453365814534653</v>
      </c>
      <c r="K48">
        <f>$J$29*SIN(RADIANS(I48))</f>
        <v>-27.358239894316373</v>
      </c>
      <c r="L48">
        <f t="shared" si="1"/>
        <v>12.302243876356435</v>
      </c>
      <c r="M48">
        <f t="shared" si="2"/>
        <v>-18.238826596210913</v>
      </c>
    </row>
    <row r="49" spans="1:13">
      <c r="A49" s="59"/>
      <c r="B49" s="288">
        <v>297</v>
      </c>
      <c r="D49" s="225">
        <f>$G$30*(SIN(RADIANS(B49)))</f>
        <v>-17.820130483767358</v>
      </c>
      <c r="E49" s="60">
        <f>$G$30*SIN(RADIANS(B49-90))</f>
        <v>-9.0798099947909332</v>
      </c>
      <c r="J49">
        <v>0</v>
      </c>
      <c r="K49">
        <v>0</v>
      </c>
      <c r="L49">
        <f t="shared" si="1"/>
        <v>0</v>
      </c>
      <c r="M49">
        <f t="shared" si="2"/>
        <v>0</v>
      </c>
    </row>
    <row r="50" spans="1:13" ht="13.5" thickBot="1">
      <c r="A50" s="61"/>
      <c r="B50" s="293">
        <v>312.8</v>
      </c>
      <c r="D50" s="232">
        <f>$G$30*(SIN(RADIANS(B50)))</f>
        <v>-14.674597290057523</v>
      </c>
      <c r="E50" s="62">
        <f>$G$30*SIN(RADIANS(B50-90))</f>
        <v>-13.58882608523033</v>
      </c>
    </row>
    <row r="51" spans="1:13" ht="13.5" thickTop="1">
      <c r="A51" s="57"/>
      <c r="B51" s="294">
        <f t="shared" ref="B51:B114" si="3">IF(B29+60&gt;=360,B29-300,B29+60)</f>
        <v>68</v>
      </c>
      <c r="D51" s="222">
        <f>$G$31*(SIN(RADIANS(B51)))</f>
        <v>20.861636727752717</v>
      </c>
      <c r="E51" s="58">
        <f>$G$31*SIN(RADIANS(B51-90))</f>
        <v>-8.4286483518580209</v>
      </c>
    </row>
    <row r="52" spans="1:13">
      <c r="A52" s="79" t="s">
        <v>197</v>
      </c>
      <c r="B52" s="285">
        <f t="shared" si="3"/>
        <v>100</v>
      </c>
      <c r="D52" s="225">
        <f>$G$31*(SIN(RADIANS(B52)))</f>
        <v>22.15817444277468</v>
      </c>
      <c r="E52" s="60">
        <f>$G$31*SIN(RADIANS(B52-90))</f>
        <v>3.9070839975059326</v>
      </c>
    </row>
    <row r="53" spans="1:13">
      <c r="A53" s="85"/>
      <c r="B53" s="285">
        <f t="shared" si="3"/>
        <v>20</v>
      </c>
      <c r="D53" s="225">
        <f>$G$31*(SIN(RADIANS(B53)))</f>
        <v>7.6954532248275465</v>
      </c>
      <c r="E53" s="60">
        <f>$G$31*SIN(RADIANS(B53-90))</f>
        <v>-21.143083967682937</v>
      </c>
    </row>
    <row r="54" spans="1:13" ht="15.75" customHeight="1">
      <c r="A54" s="85"/>
      <c r="B54" s="285">
        <f t="shared" si="3"/>
        <v>52</v>
      </c>
      <c r="D54" s="225">
        <f>$G$31*(SIN(RADIANS(B54)))</f>
        <v>17.730241956151247</v>
      </c>
      <c r="E54" s="60">
        <f>$G$31*SIN(RADIANS(B54-90))</f>
        <v>-13.852383194827311</v>
      </c>
    </row>
    <row r="55" spans="1:13">
      <c r="A55" s="85"/>
      <c r="B55" s="287">
        <f t="shared" si="3"/>
        <v>107.3</v>
      </c>
      <c r="D55" s="225">
        <f>$G$31*(SIN(RADIANS(B55)))</f>
        <v>21.482117988812941</v>
      </c>
      <c r="E55" s="60">
        <f>$G$31*SIN(RADIANS(B55-90))</f>
        <v>6.6909346667501843</v>
      </c>
    </row>
    <row r="56" spans="1:13">
      <c r="A56" s="59"/>
      <c r="B56" s="287">
        <f t="shared" si="3"/>
        <v>123.1</v>
      </c>
      <c r="D56" s="225">
        <f>$G$31*(SIN(RADIANS(B56)))</f>
        <v>18.848671123959875</v>
      </c>
      <c r="E56" s="60">
        <f>$G$31*SIN(RADIANS(B56-90))</f>
        <v>12.287294122824653</v>
      </c>
    </row>
    <row r="57" spans="1:13">
      <c r="A57" s="59"/>
      <c r="B57" s="287">
        <f t="shared" si="3"/>
        <v>142.1</v>
      </c>
      <c r="D57" s="225">
        <f>$G$31*(SIN(RADIANS(B57)))</f>
        <v>13.821417002226227</v>
      </c>
      <c r="E57" s="60">
        <f>$G$31*SIN(RADIANS(B57-90))</f>
        <v>17.754391908780537</v>
      </c>
    </row>
    <row r="58" spans="1:13">
      <c r="A58" s="59"/>
      <c r="B58" s="287">
        <f t="shared" si="3"/>
        <v>163.1</v>
      </c>
      <c r="D58" s="225">
        <f>$G$31*(SIN(RADIANS(B58)))</f>
        <v>6.5407993559606803</v>
      </c>
      <c r="E58" s="60">
        <f>$G$31*SIN(RADIANS(B58-90))</f>
        <v>21.528305641296168</v>
      </c>
    </row>
    <row r="59" spans="1:13">
      <c r="A59" s="291" t="s">
        <v>711</v>
      </c>
      <c r="B59" s="287">
        <f t="shared" si="3"/>
        <v>172.1</v>
      </c>
      <c r="D59" s="225">
        <f>$G$31*(SIN(RADIANS(B59)))</f>
        <v>3.0925022858357996</v>
      </c>
      <c r="E59" s="60">
        <f>$G$31*SIN(RADIANS(B59-90))</f>
        <v>22.286462922861947</v>
      </c>
    </row>
    <row r="60" spans="1:13">
      <c r="A60" s="59"/>
      <c r="B60" s="287">
        <f t="shared" si="3"/>
        <v>188.1</v>
      </c>
      <c r="D60" s="225">
        <f>$G$31*(SIN(RADIANS(B60)))</f>
        <v>-3.1702777185956088</v>
      </c>
      <c r="E60" s="60">
        <f>$G$31*SIN(RADIANS(B60-90))</f>
        <v>22.275532298622547</v>
      </c>
    </row>
    <row r="61" spans="1:13">
      <c r="A61" s="59"/>
      <c r="B61" s="287">
        <f t="shared" si="3"/>
        <v>201.1</v>
      </c>
      <c r="D61" s="225">
        <f>$G$31*(SIN(RADIANS(B61)))</f>
        <v>-8.0999281827011522</v>
      </c>
      <c r="E61" s="60">
        <f>$G$31*SIN(RADIANS(B61-90))</f>
        <v>20.991454533573506</v>
      </c>
    </row>
    <row r="62" spans="1:13">
      <c r="A62" s="59"/>
      <c r="B62" s="287">
        <f t="shared" si="3"/>
        <v>220</v>
      </c>
      <c r="D62" s="225">
        <f>$G$31*(SIN(RADIANS(B62)))</f>
        <v>-14.462721217947133</v>
      </c>
      <c r="E62" s="60">
        <f>$G$31*SIN(RADIANS(B62-90))</f>
        <v>17.235999970177005</v>
      </c>
    </row>
    <row r="63" spans="1:13">
      <c r="A63" s="59"/>
      <c r="B63" s="287">
        <f t="shared" si="3"/>
        <v>346.9</v>
      </c>
      <c r="D63" s="225">
        <f>$G$31*(SIN(RADIANS(B63)))</f>
        <v>-5.0996544173292433</v>
      </c>
      <c r="E63" s="60">
        <f>$G$31*SIN(RADIANS(B63-90))</f>
        <v>-21.91445926377866</v>
      </c>
    </row>
    <row r="64" spans="1:13">
      <c r="A64" s="59"/>
      <c r="B64" s="289">
        <f t="shared" si="3"/>
        <v>133</v>
      </c>
      <c r="D64" s="225">
        <f>$G$31*(SIN(RADIANS(B64)))</f>
        <v>16.455458286431337</v>
      </c>
      <c r="E64" s="60">
        <f>$G$31*SIN(RADIANS(B64-90))</f>
        <v>15.344963101406215</v>
      </c>
    </row>
    <row r="65" spans="1:5">
      <c r="A65" s="59"/>
      <c r="B65" s="289">
        <f t="shared" si="3"/>
        <v>260</v>
      </c>
      <c r="D65" s="225">
        <f>$G$31*(SIN(RADIANS(B65)))</f>
        <v>-22.15817444277468</v>
      </c>
      <c r="E65" s="60">
        <f>$G$31*SIN(RADIANS(B65-90))</f>
        <v>3.9070839975059313</v>
      </c>
    </row>
    <row r="66" spans="1:5">
      <c r="A66" s="59"/>
      <c r="B66" s="289">
        <f t="shared" si="3"/>
        <v>279</v>
      </c>
      <c r="D66" s="225">
        <f>$G$31*(SIN(RADIANS(B66)))</f>
        <v>-22.222987663390601</v>
      </c>
      <c r="E66" s="60">
        <f>$G$31*SIN(RADIANS(B66-90))</f>
        <v>-3.5197754634051917</v>
      </c>
    </row>
    <row r="67" spans="1:5">
      <c r="A67" s="292" t="s">
        <v>704</v>
      </c>
      <c r="B67" s="289">
        <f t="shared" si="3"/>
        <v>292</v>
      </c>
      <c r="D67" s="225">
        <f>$G$31*(SIN(RADIANS(B67)))</f>
        <v>-20.861636727752717</v>
      </c>
      <c r="E67" s="60">
        <f>$G$31*SIN(RADIANS(B67-90))</f>
        <v>-8.4286483518580209</v>
      </c>
    </row>
    <row r="68" spans="1:5">
      <c r="A68" s="59"/>
      <c r="B68" s="289">
        <f t="shared" si="3"/>
        <v>308</v>
      </c>
      <c r="D68" s="225">
        <f>$G$31*(SIN(RADIANS(B68)))</f>
        <v>-17.730241956151239</v>
      </c>
      <c r="E68" s="60">
        <f>$G$31*SIN(RADIANS(B68-90))</f>
        <v>-13.85238319482731</v>
      </c>
    </row>
    <row r="69" spans="1:5">
      <c r="A69" s="59"/>
      <c r="B69" s="289">
        <f t="shared" si="3"/>
        <v>317</v>
      </c>
      <c r="D69" s="225">
        <f>$G$31*(SIN(RADIANS(B69)))</f>
        <v>-15.344963101406211</v>
      </c>
      <c r="E69" s="60">
        <f>$G$31*SIN(RADIANS(B69-90))</f>
        <v>-16.455458286431334</v>
      </c>
    </row>
    <row r="70" spans="1:5">
      <c r="A70" s="59"/>
      <c r="B70" s="289">
        <f t="shared" si="3"/>
        <v>338</v>
      </c>
      <c r="D70" s="225">
        <f>$G$31*(SIN(RADIANS(B70)))</f>
        <v>-8.428648351858028</v>
      </c>
      <c r="E70" s="60">
        <f>$G$31*SIN(RADIANS(B70-90))</f>
        <v>-20.861636727752714</v>
      </c>
    </row>
    <row r="71" spans="1:5">
      <c r="A71" s="59"/>
      <c r="B71" s="289">
        <f t="shared" si="3"/>
        <v>357</v>
      </c>
      <c r="D71" s="225">
        <f>$G$31*(SIN(RADIANS(B71)))</f>
        <v>-1.1775590154662483</v>
      </c>
      <c r="E71" s="60">
        <f>$G$31*SIN(RADIANS(B71-90))</f>
        <v>-22.46916453197791</v>
      </c>
    </row>
    <row r="72" spans="1:5" ht="13.5" thickBot="1">
      <c r="A72" s="61"/>
      <c r="B72" s="295">
        <f t="shared" si="3"/>
        <v>12.800000000000011</v>
      </c>
      <c r="D72" s="232">
        <f>$G$31*(SIN(RADIANS(B72)))</f>
        <v>4.9848411964380182</v>
      </c>
      <c r="E72" s="62">
        <f>$G$31*SIN(RADIANS(B72-90))</f>
        <v>-21.940860471875173</v>
      </c>
    </row>
    <row r="73" spans="1:5" ht="13.5" thickTop="1">
      <c r="A73" s="57"/>
      <c r="B73" s="294">
        <f t="shared" si="3"/>
        <v>128</v>
      </c>
      <c r="D73" s="222">
        <f>$G$32*(SIN(RADIANS(B73)))</f>
        <v>19.70026884016805</v>
      </c>
      <c r="E73" s="58">
        <f>$G$32*SIN(RADIANS(B73-90))</f>
        <v>15.391536883141457</v>
      </c>
    </row>
    <row r="74" spans="1:5">
      <c r="A74" s="79" t="s">
        <v>200</v>
      </c>
      <c r="B74" s="285">
        <f t="shared" si="3"/>
        <v>160</v>
      </c>
      <c r="D74" s="225">
        <f>$G$32*(SIN(RADIANS(B74)))</f>
        <v>8.5505035831417224</v>
      </c>
      <c r="E74" s="60">
        <f>$G$32*SIN(RADIANS(B74-90))</f>
        <v>23.492315519647708</v>
      </c>
    </row>
    <row r="75" spans="1:5">
      <c r="A75" s="85"/>
      <c r="B75" s="285">
        <f t="shared" si="3"/>
        <v>80</v>
      </c>
      <c r="D75" s="225">
        <f>$G$32*(SIN(RADIANS(B75)))</f>
        <v>24.620193825305201</v>
      </c>
      <c r="E75" s="60">
        <f>$G$32*SIN(RADIANS(B75-90))</f>
        <v>-4.3412044416732583</v>
      </c>
    </row>
    <row r="76" spans="1:5">
      <c r="A76" s="85"/>
      <c r="B76" s="285">
        <f t="shared" si="3"/>
        <v>112</v>
      </c>
      <c r="D76" s="225">
        <f>$G$32*(SIN(RADIANS(B76)))</f>
        <v>23.179596364169686</v>
      </c>
      <c r="E76" s="60">
        <f>$G$32*SIN(RADIANS(B76-90))</f>
        <v>9.3651648353978008</v>
      </c>
    </row>
    <row r="77" spans="1:5">
      <c r="A77" s="85"/>
      <c r="B77" s="287">
        <f t="shared" si="3"/>
        <v>167.3</v>
      </c>
      <c r="D77" s="225">
        <f>$G$32*(SIN(RADIANS(B77)))</f>
        <v>5.4961551088209299</v>
      </c>
      <c r="E77" s="60">
        <f>$G$32*SIN(RADIANS(B77-90))</f>
        <v>24.388363598646414</v>
      </c>
    </row>
    <row r="78" spans="1:5">
      <c r="A78" s="59"/>
      <c r="B78" s="287">
        <f t="shared" si="3"/>
        <v>183.1</v>
      </c>
      <c r="D78" s="225">
        <f>$G$32*(SIN(RADIANS(B78)))</f>
        <v>-1.3519703246193839</v>
      </c>
      <c r="E78" s="60">
        <f>$G$32*SIN(RADIANS(B78-90))</f>
        <v>24.963416758155294</v>
      </c>
    </row>
    <row r="79" spans="1:5">
      <c r="A79" s="59"/>
      <c r="B79" s="287">
        <f t="shared" si="3"/>
        <v>202.1</v>
      </c>
      <c r="D79" s="225">
        <f>$G$32*(SIN(RADIANS(B79)))</f>
        <v>-9.4056065784841358</v>
      </c>
      <c r="E79" s="60">
        <f>$G$32*SIN(RADIANS(B79-90))</f>
        <v>23.163215771795933</v>
      </c>
    </row>
    <row r="80" spans="1:5">
      <c r="A80" s="59"/>
      <c r="B80" s="287">
        <f t="shared" si="3"/>
        <v>223.1</v>
      </c>
      <c r="D80" s="225">
        <f>$G$32*(SIN(RADIANS(B80)))</f>
        <v>-17.081844342019973</v>
      </c>
      <c r="E80" s="60">
        <f>$G$32*SIN(RADIANS(B80-90))</f>
        <v>18.254056915518813</v>
      </c>
    </row>
    <row r="81" spans="1:5">
      <c r="A81" s="291" t="s">
        <v>711</v>
      </c>
      <c r="B81" s="287">
        <f t="shared" si="3"/>
        <v>232.1</v>
      </c>
      <c r="D81" s="225">
        <f>$G$32*(SIN(RADIANS(B81)))</f>
        <v>-19.727102120867269</v>
      </c>
      <c r="E81" s="60">
        <f>$G$32*SIN(RADIANS(B81-90))</f>
        <v>15.357130002473586</v>
      </c>
    </row>
    <row r="82" spans="1:5">
      <c r="A82" s="59"/>
      <c r="B82" s="287">
        <f t="shared" si="3"/>
        <v>248.1</v>
      </c>
      <c r="D82" s="225">
        <f>$G$32*(SIN(RADIANS(B82)))</f>
        <v>-23.195906347472999</v>
      </c>
      <c r="E82" s="60">
        <f>$G$32*SIN(RADIANS(B82-90))</f>
        <v>9.3246945643952301</v>
      </c>
    </row>
    <row r="83" spans="1:5">
      <c r="A83" s="59"/>
      <c r="B83" s="287">
        <f t="shared" si="3"/>
        <v>261.10000000000002</v>
      </c>
      <c r="D83" s="225">
        <f>$G$32*(SIN(RADIANS(B83)))</f>
        <v>-24.698996644234729</v>
      </c>
      <c r="E83" s="60">
        <f>$G$32*SIN(RADIANS(B83-90))</f>
        <v>3.8677596574866966</v>
      </c>
    </row>
    <row r="84" spans="1:5">
      <c r="A84" s="59"/>
      <c r="B84" s="287">
        <f t="shared" si="3"/>
        <v>280</v>
      </c>
      <c r="D84" s="225">
        <f>$G$32*(SIN(RADIANS(B84)))</f>
        <v>-24.620193825305204</v>
      </c>
      <c r="E84" s="60">
        <f>$G$32*SIN(RADIANS(B84-90))</f>
        <v>-4.3412044416732618</v>
      </c>
    </row>
    <row r="85" spans="1:5">
      <c r="A85" s="59"/>
      <c r="B85" s="287">
        <f t="shared" si="3"/>
        <v>46.899999999999977</v>
      </c>
      <c r="D85" s="225">
        <f>$G$32*(SIN(RADIANS(B85)))</f>
        <v>18.254056915518802</v>
      </c>
      <c r="E85" s="60">
        <f>$G$32*SIN(RADIANS(B85-90))</f>
        <v>-17.081844342019988</v>
      </c>
    </row>
    <row r="86" spans="1:5">
      <c r="A86" s="59"/>
      <c r="B86" s="289">
        <f t="shared" si="3"/>
        <v>193</v>
      </c>
      <c r="D86" s="225">
        <f>$G$32*(SIN(RADIANS(B86)))</f>
        <v>-5.6237763585966247</v>
      </c>
      <c r="E86" s="60">
        <f>$G$32*SIN(RADIANS(B86-90))</f>
        <v>24.359251619630882</v>
      </c>
    </row>
    <row r="87" spans="1:5">
      <c r="A87" s="59"/>
      <c r="B87" s="289">
        <f t="shared" si="3"/>
        <v>320</v>
      </c>
      <c r="D87" s="225">
        <f>$G$32*(SIN(RADIANS(B87)))</f>
        <v>-16.069690242163489</v>
      </c>
      <c r="E87" s="60">
        <f>$G$32*SIN(RADIANS(B87-90))</f>
        <v>-19.151111077974448</v>
      </c>
    </row>
    <row r="88" spans="1:5">
      <c r="A88" s="59"/>
      <c r="B88" s="289">
        <f t="shared" si="3"/>
        <v>339</v>
      </c>
      <c r="D88" s="225">
        <f>$G$32*(SIN(RADIANS(B88)))</f>
        <v>-8.9591987386325194</v>
      </c>
      <c r="E88" s="60">
        <f>$G$32*SIN(RADIANS(B88-90))</f>
        <v>-23.33951066243004</v>
      </c>
    </row>
    <row r="89" spans="1:5">
      <c r="A89" s="292" t="s">
        <v>704</v>
      </c>
      <c r="B89" s="289">
        <f t="shared" si="3"/>
        <v>352</v>
      </c>
      <c r="D89" s="225">
        <f>$G$32*(SIN(RADIANS(B89)))</f>
        <v>-3.479327524001647</v>
      </c>
      <c r="E89" s="60">
        <f>$G$32*SIN(RADIANS(B89-90))</f>
        <v>-24.756701718539258</v>
      </c>
    </row>
    <row r="90" spans="1:5">
      <c r="A90" s="59"/>
      <c r="B90" s="289">
        <f t="shared" si="3"/>
        <v>8</v>
      </c>
      <c r="D90" s="225">
        <f>$G$32*(SIN(RADIANS(B90)))</f>
        <v>3.4793275240016359</v>
      </c>
      <c r="E90" s="60">
        <f>$G$32*SIN(RADIANS(B90-90))</f>
        <v>-24.756701718539258</v>
      </c>
    </row>
    <row r="91" spans="1:5">
      <c r="A91" s="59"/>
      <c r="B91" s="289">
        <f t="shared" si="3"/>
        <v>17</v>
      </c>
      <c r="D91" s="225">
        <f>$G$32*(SIN(RADIANS(B91)))</f>
        <v>7.3092926180684188</v>
      </c>
      <c r="E91" s="60">
        <f>$G$32*SIN(RADIANS(B91-90))</f>
        <v>-23.907618899075885</v>
      </c>
    </row>
    <row r="92" spans="1:5">
      <c r="A92" s="59"/>
      <c r="B92" s="289">
        <f t="shared" si="3"/>
        <v>38</v>
      </c>
      <c r="D92" s="225">
        <f>$G$32*(SIN(RADIANS(B92)))</f>
        <v>15.391536883141457</v>
      </c>
      <c r="E92" s="60">
        <f>$G$32*SIN(RADIANS(B92-90))</f>
        <v>-19.70026884016805</v>
      </c>
    </row>
    <row r="93" spans="1:5">
      <c r="A93" s="59"/>
      <c r="B93" s="289">
        <f t="shared" si="3"/>
        <v>57</v>
      </c>
      <c r="D93" s="225">
        <f>$G$32*(SIN(RADIANS(B93)))</f>
        <v>20.966764198635602</v>
      </c>
      <c r="E93" s="60">
        <f>$G$32*SIN(RADIANS(B93-90))</f>
        <v>-13.615975875375677</v>
      </c>
    </row>
    <row r="94" spans="1:5" ht="13.5" thickBot="1">
      <c r="A94" s="61"/>
      <c r="B94" s="295">
        <f t="shared" si="3"/>
        <v>72.800000000000011</v>
      </c>
      <c r="D94" s="232">
        <f>$G$32*(SIN(RADIANS(B94)))</f>
        <v>23.881959053058594</v>
      </c>
      <c r="E94" s="62">
        <f>$G$32*SIN(RADIANS(B94-90))</f>
        <v>-7.3927012511011618</v>
      </c>
    </row>
    <row r="95" spans="1:5" ht="13.5" thickTop="1">
      <c r="A95" s="57"/>
      <c r="B95" s="294">
        <f t="shared" si="3"/>
        <v>188</v>
      </c>
      <c r="D95" s="222">
        <f>$G$33*(SIN(RADIANS(B95)))</f>
        <v>-3.8272602764018018</v>
      </c>
      <c r="E95" s="58">
        <f>$G$33*SIN(RADIANS(B95-90))</f>
        <v>27.232371890393186</v>
      </c>
    </row>
    <row r="96" spans="1:5">
      <c r="A96" s="296" t="s">
        <v>710</v>
      </c>
      <c r="B96" s="285">
        <f t="shared" si="3"/>
        <v>220</v>
      </c>
      <c r="D96" s="225">
        <f>$G$33*(SIN(RADIANS(B96)))</f>
        <v>-17.676659266379829</v>
      </c>
      <c r="E96" s="60">
        <f>$G$33*SIN(RADIANS(B96-90))</f>
        <v>21.066222185771895</v>
      </c>
    </row>
    <row r="97" spans="1:5">
      <c r="A97" s="85"/>
      <c r="B97" s="285">
        <f t="shared" si="3"/>
        <v>140</v>
      </c>
      <c r="D97" s="225">
        <f>$G$33*(SIN(RADIANS(B97)))</f>
        <v>17.676659266379836</v>
      </c>
      <c r="E97" s="60">
        <f>$G$33*SIN(RADIANS(B97-90))</f>
        <v>21.066222185771895</v>
      </c>
    </row>
    <row r="98" spans="1:5">
      <c r="A98" s="85"/>
      <c r="B98" s="285">
        <f t="shared" si="3"/>
        <v>172</v>
      </c>
      <c r="D98" s="225">
        <f>$G$33*(SIN(RADIANS(B98)))</f>
        <v>3.8272602764017964</v>
      </c>
      <c r="E98" s="60">
        <f>$G$33*SIN(RADIANS(B98-90))</f>
        <v>27.232371890393186</v>
      </c>
    </row>
    <row r="99" spans="1:5">
      <c r="A99" s="85"/>
      <c r="B99" s="287">
        <f t="shared" si="3"/>
        <v>227.3</v>
      </c>
      <c r="D99" s="225">
        <f>$G$33*(SIN(RADIANS(B99)))</f>
        <v>-20.210151366623897</v>
      </c>
      <c r="E99" s="60">
        <f>$G$33*SIN(RADIANS(B99-90))</f>
        <v>18.649390921371939</v>
      </c>
    </row>
    <row r="100" spans="1:5">
      <c r="A100" s="59"/>
      <c r="B100" s="287">
        <f t="shared" si="3"/>
        <v>243.1</v>
      </c>
      <c r="D100" s="225">
        <f>$G$33*(SIN(RADIANS(B100)))</f>
        <v>-24.524432064143383</v>
      </c>
      <c r="E100" s="60">
        <f>$G$33*SIN(RADIANS(B100-90))</f>
        <v>12.44195450607403</v>
      </c>
    </row>
    <row r="101" spans="1:5">
      <c r="A101" s="59"/>
      <c r="B101" s="287">
        <f t="shared" si="3"/>
        <v>262.10000000000002</v>
      </c>
      <c r="D101" s="225">
        <f>$G$33*(SIN(RADIANS(B101)))</f>
        <v>-27.239010239053496</v>
      </c>
      <c r="E101" s="60">
        <f>$G$33*SIN(RADIANS(B101-90))</f>
        <v>3.7797250160215206</v>
      </c>
    </row>
    <row r="102" spans="1:5">
      <c r="A102" s="59"/>
      <c r="B102" s="287">
        <f t="shared" si="3"/>
        <v>283.10000000000002</v>
      </c>
      <c r="D102" s="225">
        <f>$G$33*(SIN(RADIANS(B102)))</f>
        <v>-26.784339100173916</v>
      </c>
      <c r="E102" s="60">
        <f>$G$33*SIN(RADIANS(B102-90))</f>
        <v>-6.232910954513522</v>
      </c>
    </row>
    <row r="103" spans="1:5">
      <c r="A103" s="291" t="s">
        <v>711</v>
      </c>
      <c r="B103" s="287">
        <f t="shared" si="3"/>
        <v>292.10000000000002</v>
      </c>
      <c r="D103" s="225">
        <f>$G$33*(SIN(RADIANS(B103)))</f>
        <v>-25.479537348975519</v>
      </c>
      <c r="E103" s="60">
        <f>$G$33*SIN(RADIANS(B103-90))</f>
        <v>-10.346167236332562</v>
      </c>
    </row>
    <row r="104" spans="1:5">
      <c r="A104" s="59"/>
      <c r="B104" s="287">
        <f t="shared" si="3"/>
        <v>308.10000000000002</v>
      </c>
      <c r="D104" s="225">
        <f>$G$33*(SIN(RADIANS(B104)))</f>
        <v>-21.640713103936775</v>
      </c>
      <c r="E104" s="60">
        <f>$G$33*SIN(RADIANS(B104-90))</f>
        <v>-16.968486566370593</v>
      </c>
    </row>
    <row r="105" spans="1:5">
      <c r="A105" s="59"/>
      <c r="B105" s="287">
        <f t="shared" si="3"/>
        <v>321.10000000000002</v>
      </c>
      <c r="D105" s="225">
        <f>$G$33*(SIN(RADIANS(B105)))</f>
        <v>-17.268984085356788</v>
      </c>
      <c r="E105" s="60">
        <f>$G$33*SIN(RADIANS(B105-90))</f>
        <v>-21.401686584465583</v>
      </c>
    </row>
    <row r="106" spans="1:5">
      <c r="A106" s="59"/>
      <c r="B106" s="287">
        <f t="shared" si="3"/>
        <v>340</v>
      </c>
      <c r="D106" s="225">
        <f>$G$33*(SIN(RADIANS(B106)))</f>
        <v>-9.4055539414558869</v>
      </c>
      <c r="E106" s="60">
        <f>$G$33*SIN(RADIANS(B106-90))</f>
        <v>-25.841547071612482</v>
      </c>
    </row>
    <row r="107" spans="1:5">
      <c r="A107" s="59"/>
      <c r="B107" s="287">
        <f t="shared" si="3"/>
        <v>106.89999999999998</v>
      </c>
      <c r="D107" s="225">
        <f>$G$33*(SIN(RADIANS(B107)))</f>
        <v>26.312373561584206</v>
      </c>
      <c r="E107" s="60">
        <f>$G$33*SIN(RADIANS(B107-90))</f>
        <v>7.9943103239519315</v>
      </c>
    </row>
    <row r="108" spans="1:5">
      <c r="A108" s="59"/>
      <c r="B108" s="289">
        <f t="shared" si="3"/>
        <v>253</v>
      </c>
      <c r="D108" s="225">
        <f>$G$33*(SIN(RADIANS(B108)))</f>
        <v>-26.298380788983472</v>
      </c>
      <c r="E108" s="60">
        <f>$G$33*SIN(RADIANS(B108-90))</f>
        <v>8.0402218798752561</v>
      </c>
    </row>
    <row r="109" spans="1:5">
      <c r="A109" s="59"/>
      <c r="B109" s="289">
        <f t="shared" si="3"/>
        <v>20</v>
      </c>
      <c r="D109" s="225">
        <f>$G$33*(SIN(RADIANS(B109)))</f>
        <v>9.4055539414558904</v>
      </c>
      <c r="E109" s="60">
        <f>$G$33*SIN(RADIANS(B109-90))</f>
        <v>-25.841547071612478</v>
      </c>
    </row>
    <row r="110" spans="1:5">
      <c r="A110" s="59"/>
      <c r="B110" s="289">
        <f t="shared" si="3"/>
        <v>39</v>
      </c>
      <c r="D110" s="225">
        <f>$G$33*(SIN(RADIANS(B110)))</f>
        <v>17.306310753870527</v>
      </c>
      <c r="E110" s="60">
        <f>$G$33*SIN(RADIANS(B110-90))</f>
        <v>-21.371513940066698</v>
      </c>
    </row>
    <row r="111" spans="1:5">
      <c r="A111" s="292" t="s">
        <v>704</v>
      </c>
      <c r="B111" s="289">
        <f t="shared" si="3"/>
        <v>52</v>
      </c>
      <c r="D111" s="225">
        <f>$G$33*(SIN(RADIANS(B111)))</f>
        <v>21.670295724184854</v>
      </c>
      <c r="E111" s="60">
        <f>$G$33*SIN(RADIANS(B111-90))</f>
        <v>-16.930690571455603</v>
      </c>
    </row>
    <row r="112" spans="1:5">
      <c r="A112" s="59"/>
      <c r="B112" s="289">
        <f t="shared" si="3"/>
        <v>68</v>
      </c>
      <c r="D112" s="225">
        <f>$G$33*(SIN(RADIANS(B112)))</f>
        <v>25.497556000586656</v>
      </c>
      <c r="E112" s="60">
        <f>$G$33*SIN(RADIANS(B112-90))</f>
        <v>-10.301681318937581</v>
      </c>
    </row>
    <row r="113" spans="1:5">
      <c r="A113" s="59"/>
      <c r="B113" s="289">
        <f t="shared" si="3"/>
        <v>77</v>
      </c>
      <c r="D113" s="225">
        <f>$G$33*(SIN(RADIANS(B113)))</f>
        <v>26.79517678159397</v>
      </c>
      <c r="E113" s="60">
        <f>$G$33*SIN(RADIANS(B113-90))</f>
        <v>-6.186153994456288</v>
      </c>
    </row>
    <row r="114" spans="1:5">
      <c r="A114" s="59"/>
      <c r="B114" s="289">
        <f t="shared" si="3"/>
        <v>98</v>
      </c>
      <c r="D114" s="225">
        <f>$G$33*(SIN(RADIANS(B114)))</f>
        <v>27.232371890393186</v>
      </c>
      <c r="E114" s="60">
        <f>$G$33*SIN(RADIANS(B114-90))</f>
        <v>3.8272602764017996</v>
      </c>
    </row>
    <row r="115" spans="1:5">
      <c r="A115" s="59"/>
      <c r="B115" s="289">
        <f t="shared" ref="B115:B160" si="4">IF(B93+60&gt;=360,B93-300,B93+60)</f>
        <v>117</v>
      </c>
      <c r="D115" s="225">
        <f>$G$33*(SIN(RADIANS(B115)))</f>
        <v>24.502679415180118</v>
      </c>
      <c r="E115" s="60">
        <f>$G$33*SIN(RADIANS(B115-90))</f>
        <v>12.484738742837536</v>
      </c>
    </row>
    <row r="116" spans="1:5" ht="13.5" thickBot="1">
      <c r="A116" s="61"/>
      <c r="B116" s="295">
        <f t="shared" si="4"/>
        <v>132.80000000000001</v>
      </c>
      <c r="D116" s="232">
        <f>$G$33*(SIN(RADIANS(B116)))</f>
        <v>20.177571273829098</v>
      </c>
      <c r="E116" s="62">
        <f>$G$33*SIN(RADIANS(B116-90))</f>
        <v>18.684635867191705</v>
      </c>
    </row>
    <row r="117" spans="1:5" ht="13.5" thickTop="1">
      <c r="A117" s="57"/>
      <c r="B117" s="294">
        <f t="shared" si="4"/>
        <v>248</v>
      </c>
      <c r="D117" s="222">
        <f>$G$34*(SIN(RADIANS(B117)))</f>
        <v>-27.815515637003621</v>
      </c>
      <c r="E117" s="58">
        <f>$G$34*SIN(RADIANS(B117-90))</f>
        <v>11.238197802477368</v>
      </c>
    </row>
    <row r="118" spans="1:5">
      <c r="A118" s="296" t="s">
        <v>712</v>
      </c>
      <c r="B118" s="285">
        <f t="shared" si="4"/>
        <v>280</v>
      </c>
      <c r="D118" s="225">
        <f>$G$34*(SIN(RADIANS(B118)))</f>
        <v>-29.544232590366242</v>
      </c>
      <c r="E118" s="60">
        <f>$G$34*SIN(RADIANS(B118-90))</f>
        <v>-5.209445330007914</v>
      </c>
    </row>
    <row r="119" spans="1:5">
      <c r="A119" s="85"/>
      <c r="B119" s="285">
        <f t="shared" si="4"/>
        <v>200</v>
      </c>
      <c r="D119" s="225">
        <f>$G$34*(SIN(RADIANS(B119)))</f>
        <v>-10.26060429977006</v>
      </c>
      <c r="E119" s="60">
        <f>$G$34*SIN(RADIANS(B119-90))</f>
        <v>28.190778623577252</v>
      </c>
    </row>
    <row r="120" spans="1:5">
      <c r="A120" s="85"/>
      <c r="B120" s="285">
        <f t="shared" si="4"/>
        <v>232</v>
      </c>
      <c r="D120" s="225">
        <f>$G$34*(SIN(RADIANS(B120)))</f>
        <v>-23.640322608201664</v>
      </c>
      <c r="E120" s="60">
        <f>$G$34*SIN(RADIANS(B120-90))</f>
        <v>18.469844259769751</v>
      </c>
    </row>
    <row r="121" spans="1:5">
      <c r="A121" s="85"/>
      <c r="B121" s="287">
        <f t="shared" si="4"/>
        <v>287.3</v>
      </c>
      <c r="D121" s="225">
        <f>$G$34*(SIN(RADIANS(B121)))</f>
        <v>-28.642823985083929</v>
      </c>
      <c r="E121" s="60">
        <f>$G$34*SIN(RADIANS(B121-90))</f>
        <v>-8.9212462223335844</v>
      </c>
    </row>
    <row r="122" spans="1:5">
      <c r="A122" s="59"/>
      <c r="B122" s="287">
        <f t="shared" si="4"/>
        <v>303.10000000000002</v>
      </c>
      <c r="D122" s="225">
        <f>$G$34*(SIN(RADIANS(B122)))</f>
        <v>-25.131561498613159</v>
      </c>
      <c r="E122" s="60">
        <f>$G$34*SIN(RADIANS(B122-90))</f>
        <v>-16.38305883043288</v>
      </c>
    </row>
    <row r="123" spans="1:5">
      <c r="A123" s="59"/>
      <c r="B123" s="287">
        <f t="shared" si="4"/>
        <v>322.10000000000002</v>
      </c>
      <c r="D123" s="225">
        <f>$G$34*(SIN(RADIANS(B123)))</f>
        <v>-18.428556002968296</v>
      </c>
      <c r="E123" s="60">
        <f>$G$34*SIN(RADIANS(B123-90))</f>
        <v>-23.672522545040721</v>
      </c>
    </row>
    <row r="124" spans="1:5">
      <c r="A124" s="59"/>
      <c r="B124" s="287">
        <f t="shared" si="4"/>
        <v>343.1</v>
      </c>
      <c r="D124" s="225">
        <f>$G$34*(SIN(RADIANS(B124)))</f>
        <v>-8.7210658079475643</v>
      </c>
      <c r="E124" s="60">
        <f>$G$34*SIN(RADIANS(B124-90))</f>
        <v>-28.704407521728225</v>
      </c>
    </row>
    <row r="125" spans="1:5">
      <c r="A125" s="291" t="s">
        <v>711</v>
      </c>
      <c r="B125" s="287">
        <f t="shared" si="4"/>
        <v>352.1</v>
      </c>
      <c r="D125" s="225">
        <f>$G$34*(SIN(RADIANS(B125)))</f>
        <v>-4.123336381114389</v>
      </c>
      <c r="E125" s="60">
        <f>$G$34*SIN(RADIANS(B125-90))</f>
        <v>-29.715283897149266</v>
      </c>
    </row>
    <row r="126" spans="1:5">
      <c r="A126" s="59"/>
      <c r="B126" s="287">
        <f t="shared" si="4"/>
        <v>8.1000000000000227</v>
      </c>
      <c r="D126" s="225">
        <f>$G$34*(SIN(RADIANS(B126)))</f>
        <v>4.227036958127492</v>
      </c>
      <c r="E126" s="60">
        <f>$G$34*SIN(RADIANS(B126-90))</f>
        <v>-29.700709731496726</v>
      </c>
    </row>
    <row r="127" spans="1:5">
      <c r="A127" s="59"/>
      <c r="B127" s="287">
        <f t="shared" si="4"/>
        <v>21.100000000000023</v>
      </c>
      <c r="D127" s="225">
        <f>$G$34*(SIN(RADIANS(B127)))</f>
        <v>10.799904243601548</v>
      </c>
      <c r="E127" s="60">
        <f>$G$34*SIN(RADIANS(B127-90))</f>
        <v>-27.988606044764669</v>
      </c>
    </row>
    <row r="128" spans="1:5">
      <c r="A128" s="59"/>
      <c r="B128" s="287">
        <f t="shared" si="4"/>
        <v>40</v>
      </c>
      <c r="D128" s="225">
        <f>$G$34*(SIN(RADIANS(B128)))</f>
        <v>19.283628290596177</v>
      </c>
      <c r="E128" s="60">
        <f>$G$34*SIN(RADIANS(B128-90))</f>
        <v>-22.981333293569339</v>
      </c>
    </row>
    <row r="129" spans="1:5">
      <c r="A129" s="59"/>
      <c r="B129" s="287">
        <f t="shared" si="4"/>
        <v>166.89999999999998</v>
      </c>
      <c r="D129" s="225">
        <f>$G$34*(SIN(RADIANS(B129)))</f>
        <v>6.7995392231056675</v>
      </c>
      <c r="E129" s="60">
        <f>$G$34*SIN(RADIANS(B129-90))</f>
        <v>29.219279018371545</v>
      </c>
    </row>
    <row r="130" spans="1:5">
      <c r="A130" s="59"/>
      <c r="B130" s="289">
        <f t="shared" si="4"/>
        <v>313</v>
      </c>
      <c r="D130" s="225">
        <f>$G$34*(SIN(RADIANS(B130)))</f>
        <v>-21.940611048575111</v>
      </c>
      <c r="E130" s="60">
        <f>$G$34*SIN(RADIANS(B130-90))</f>
        <v>-20.45995080187495</v>
      </c>
    </row>
    <row r="131" spans="1:5">
      <c r="A131" s="59"/>
      <c r="B131" s="289">
        <f t="shared" si="4"/>
        <v>80</v>
      </c>
      <c r="D131" s="225">
        <f>$G$34*(SIN(RADIANS(B131)))</f>
        <v>29.544232590366242</v>
      </c>
      <c r="E131" s="60">
        <f>$G$34*SIN(RADIANS(B131-90))</f>
        <v>-5.2094453300079095</v>
      </c>
    </row>
    <row r="132" spans="1:5">
      <c r="A132" s="59"/>
      <c r="B132" s="289">
        <f t="shared" si="4"/>
        <v>99</v>
      </c>
      <c r="D132" s="225">
        <f>$G$34*(SIN(RADIANS(B132)))</f>
        <v>29.630650217854132</v>
      </c>
      <c r="E132" s="60">
        <f>$G$34*SIN(RADIANS(B132-90))</f>
        <v>4.6930339512069263</v>
      </c>
    </row>
    <row r="133" spans="1:5">
      <c r="A133" s="292" t="s">
        <v>704</v>
      </c>
      <c r="B133" s="289">
        <f t="shared" si="4"/>
        <v>112</v>
      </c>
      <c r="D133" s="225">
        <f>$G$34*(SIN(RADIANS(B133)))</f>
        <v>27.815515637003621</v>
      </c>
      <c r="E133" s="60">
        <f>$G$34*SIN(RADIANS(B133-90))</f>
        <v>11.238197802477361</v>
      </c>
    </row>
    <row r="134" spans="1:5">
      <c r="A134" s="59"/>
      <c r="B134" s="289">
        <f t="shared" si="4"/>
        <v>128</v>
      </c>
      <c r="D134" s="225">
        <f>$G$34*(SIN(RADIANS(B134)))</f>
        <v>23.640322608201661</v>
      </c>
      <c r="E134" s="60">
        <f>$G$34*SIN(RADIANS(B134-90))</f>
        <v>18.469844259769747</v>
      </c>
    </row>
    <row r="135" spans="1:5">
      <c r="A135" s="59"/>
      <c r="B135" s="289">
        <f t="shared" si="4"/>
        <v>137</v>
      </c>
      <c r="D135" s="225">
        <f>$G$34*(SIN(RADIANS(B135)))</f>
        <v>20.459950801874957</v>
      </c>
      <c r="E135" s="60">
        <f>$G$34*SIN(RADIANS(B135-90))</f>
        <v>21.940611048575114</v>
      </c>
    </row>
    <row r="136" spans="1:5">
      <c r="A136" s="59"/>
      <c r="B136" s="289">
        <f t="shared" si="4"/>
        <v>158</v>
      </c>
      <c r="D136" s="225">
        <f>$G$34*(SIN(RADIANS(B136)))</f>
        <v>11.238197802477368</v>
      </c>
      <c r="E136" s="60">
        <f>$G$34*SIN(RADIANS(B136-90))</f>
        <v>27.815515637003621</v>
      </c>
    </row>
    <row r="137" spans="1:5">
      <c r="A137" s="59"/>
      <c r="B137" s="289">
        <f t="shared" si="4"/>
        <v>177</v>
      </c>
      <c r="D137" s="225">
        <f>$G$34*(SIN(RADIANS(B137)))</f>
        <v>1.5700786872883141</v>
      </c>
      <c r="E137" s="60">
        <f>$G$34*SIN(RADIANS(B137-90))</f>
        <v>29.958886042637214</v>
      </c>
    </row>
    <row r="138" spans="1:5" ht="13.5" thickBot="1">
      <c r="A138" s="61"/>
      <c r="B138" s="295">
        <f t="shared" si="4"/>
        <v>192.8</v>
      </c>
      <c r="D138" s="232">
        <f>$G$34*(SIN(RADIANS(B138)))</f>
        <v>-6.6464549285840242</v>
      </c>
      <c r="E138" s="62">
        <f>$G$34*SIN(RADIANS(B138-90))</f>
        <v>29.254480629166896</v>
      </c>
    </row>
    <row r="139" spans="1:5" ht="13.5" thickTop="1">
      <c r="A139" s="57"/>
      <c r="B139" s="294">
        <f t="shared" si="4"/>
        <v>308</v>
      </c>
      <c r="D139" s="222">
        <f>$G$35*(SIN(RADIANS(B139)))</f>
        <v>-25.610349492218457</v>
      </c>
      <c r="E139" s="58">
        <f>$G$35*SIN(RADIANS(B139-90))</f>
        <v>-20.008997948083891</v>
      </c>
    </row>
    <row r="140" spans="1:5">
      <c r="A140" s="296" t="s">
        <v>713</v>
      </c>
      <c r="B140" s="285">
        <f t="shared" si="4"/>
        <v>340</v>
      </c>
      <c r="D140" s="225">
        <f>$G$35*(SIN(RADIANS(B140)))</f>
        <v>-11.11565465808423</v>
      </c>
      <c r="E140" s="60">
        <f>$G$35*SIN(RADIANS(B140-90))</f>
        <v>-30.540010175542022</v>
      </c>
    </row>
    <row r="141" spans="1:5">
      <c r="A141" s="85"/>
      <c r="B141" s="285">
        <f t="shared" si="4"/>
        <v>260</v>
      </c>
      <c r="D141" s="225">
        <f>$G$35*(SIN(RADIANS(B141)))</f>
        <v>-32.006251972896763</v>
      </c>
      <c r="E141" s="60">
        <f>$G$35*SIN(RADIANS(B141-90))</f>
        <v>5.6435657741752339</v>
      </c>
    </row>
    <row r="142" spans="1:5">
      <c r="A142" s="85"/>
      <c r="B142" s="285">
        <f t="shared" si="4"/>
        <v>292</v>
      </c>
      <c r="D142" s="225">
        <f>$G$35*(SIN(RADIANS(B142)))</f>
        <v>-30.13347527342059</v>
      </c>
      <c r="E142" s="60">
        <f>$G$35*SIN(RADIANS(B142-90))</f>
        <v>-12.17471428601714</v>
      </c>
    </row>
    <row r="143" spans="1:5">
      <c r="A143" s="85"/>
      <c r="B143" s="287">
        <f t="shared" si="4"/>
        <v>347.3</v>
      </c>
      <c r="D143" s="225">
        <f>$G$35*(SIN(RADIANS(B143)))</f>
        <v>-7.1450016414672124</v>
      </c>
      <c r="E143" s="60">
        <f>$G$35*SIN(RADIANS(B143-90))</f>
        <v>-31.704872678240342</v>
      </c>
    </row>
    <row r="144" spans="1:5">
      <c r="A144" s="59"/>
      <c r="B144" s="287">
        <f t="shared" si="4"/>
        <v>3.1000000000000227</v>
      </c>
      <c r="D144" s="225">
        <f>$G$35*(SIN(RADIANS(B144)))</f>
        <v>1.7575614220052098</v>
      </c>
      <c r="E144" s="60">
        <f>$G$35*SIN(RADIANS(B144-90))</f>
        <v>-32.452441785601884</v>
      </c>
    </row>
    <row r="145" spans="1:5">
      <c r="A145" s="59"/>
      <c r="B145" s="287">
        <f t="shared" si="4"/>
        <v>22.100000000000023</v>
      </c>
      <c r="D145" s="225">
        <f>$G$35*(SIN(RADIANS(B145)))</f>
        <v>12.227288552029394</v>
      </c>
      <c r="E145" s="60">
        <f>$G$35*SIN(RADIANS(B145-90))</f>
        <v>-30.112180503334706</v>
      </c>
    </row>
    <row r="146" spans="1:5">
      <c r="A146" s="59"/>
      <c r="B146" s="287">
        <f t="shared" si="4"/>
        <v>43.100000000000023</v>
      </c>
      <c r="D146" s="225">
        <f>$G$35*(SIN(RADIANS(B146)))</f>
        <v>22.206397644625984</v>
      </c>
      <c r="E146" s="60">
        <f>$G$35*SIN(RADIANS(B146-90))</f>
        <v>-23.730273990174442</v>
      </c>
    </row>
    <row r="147" spans="1:5">
      <c r="A147" s="291" t="s">
        <v>711</v>
      </c>
      <c r="B147" s="287">
        <f t="shared" si="4"/>
        <v>52.100000000000023</v>
      </c>
      <c r="D147" s="225">
        <f>$G$35*(SIN(RADIANS(B147)))</f>
        <v>25.645232757127452</v>
      </c>
      <c r="E147" s="60">
        <f>$G$35*SIN(RADIANS(B147-90))</f>
        <v>-19.964269003215644</v>
      </c>
    </row>
    <row r="148" spans="1:5">
      <c r="A148" s="59"/>
      <c r="B148" s="287">
        <f t="shared" si="4"/>
        <v>68.100000000000023</v>
      </c>
      <c r="D148" s="225">
        <f>$G$35*(SIN(RADIANS(B148)))</f>
        <v>30.154678251714902</v>
      </c>
      <c r="E148" s="60">
        <f>$G$35*SIN(RADIANS(B148-90))</f>
        <v>-12.122102933713776</v>
      </c>
    </row>
    <row r="149" spans="1:5">
      <c r="A149" s="59"/>
      <c r="B149" s="287">
        <f t="shared" si="4"/>
        <v>81.100000000000023</v>
      </c>
      <c r="D149" s="225">
        <f>$G$35*(SIN(RADIANS(B149)))</f>
        <v>32.10869563750515</v>
      </c>
      <c r="E149" s="60">
        <f>$G$35*SIN(RADIANS(B149-90))</f>
        <v>-5.0280875547327009</v>
      </c>
    </row>
    <row r="150" spans="1:5">
      <c r="A150" s="59"/>
      <c r="B150" s="287">
        <f t="shared" si="4"/>
        <v>100</v>
      </c>
      <c r="D150" s="225">
        <f>$G$35*(SIN(RADIANS(B150)))</f>
        <v>32.006251972896763</v>
      </c>
      <c r="E150" s="60">
        <f>$G$35*SIN(RADIANS(B150-90))</f>
        <v>5.6435657741752356</v>
      </c>
    </row>
    <row r="151" spans="1:5">
      <c r="A151" s="59"/>
      <c r="B151" s="287">
        <f t="shared" si="4"/>
        <v>226.89999999999998</v>
      </c>
      <c r="D151" s="225">
        <f>$G$35*(SIN(RADIANS(B151)))</f>
        <v>-23.730273990174442</v>
      </c>
      <c r="E151" s="60">
        <f>$G$35*SIN(RADIANS(B151-90))</f>
        <v>22.206397644625984</v>
      </c>
    </row>
    <row r="152" spans="1:5">
      <c r="A152" s="59"/>
      <c r="B152" s="289">
        <f t="shared" si="4"/>
        <v>13</v>
      </c>
      <c r="D152" s="225">
        <f>$G$35*(SIN(RADIANS(B152)))</f>
        <v>7.3109092661756128</v>
      </c>
      <c r="E152" s="60">
        <f>$G$35*SIN(RADIANS(B152-90))</f>
        <v>-31.667027105520145</v>
      </c>
    </row>
    <row r="153" spans="1:5">
      <c r="A153" s="59"/>
      <c r="B153" s="289">
        <f t="shared" si="4"/>
        <v>140</v>
      </c>
      <c r="D153" s="225">
        <f>$G$35*(SIN(RADIANS(B153)))</f>
        <v>20.890597314812531</v>
      </c>
      <c r="E153" s="60">
        <f>$G$35*SIN(RADIANS(B153-90))</f>
        <v>24.896444401366786</v>
      </c>
    </row>
    <row r="154" spans="1:5">
      <c r="A154" s="59"/>
      <c r="B154" s="289">
        <f t="shared" si="4"/>
        <v>159</v>
      </c>
      <c r="D154" s="225">
        <f>$G$35*(SIN(RADIANS(B154)))</f>
        <v>11.646958360222257</v>
      </c>
      <c r="E154" s="60">
        <f>$G$35*SIN(RADIANS(B154-90))</f>
        <v>30.341363861159056</v>
      </c>
    </row>
    <row r="155" spans="1:5">
      <c r="A155" s="292" t="s">
        <v>704</v>
      </c>
      <c r="B155" s="289">
        <f t="shared" si="4"/>
        <v>172</v>
      </c>
      <c r="D155" s="225">
        <f>$G$35*(SIN(RADIANS(B155)))</f>
        <v>4.5231257812021228</v>
      </c>
      <c r="E155" s="60">
        <f>$G$35*SIN(RADIANS(B155-90))</f>
        <v>32.183712234101037</v>
      </c>
    </row>
    <row r="156" spans="1:5">
      <c r="A156" s="59"/>
      <c r="B156" s="289">
        <f t="shared" si="4"/>
        <v>188</v>
      </c>
      <c r="D156" s="225">
        <f>$G$35*(SIN(RADIANS(B156)))</f>
        <v>-4.523125781202129</v>
      </c>
      <c r="E156" s="60">
        <f>$G$35*SIN(RADIANS(B156-90))</f>
        <v>32.183712234101037</v>
      </c>
    </row>
    <row r="157" spans="1:5">
      <c r="A157" s="59"/>
      <c r="B157" s="289">
        <f t="shared" si="4"/>
        <v>197</v>
      </c>
      <c r="D157" s="225">
        <f>$G$35*(SIN(RADIANS(B157)))</f>
        <v>-9.5020804034889448</v>
      </c>
      <c r="E157" s="60">
        <f>$G$35*SIN(RADIANS(B157-90))</f>
        <v>31.079904568798653</v>
      </c>
    </row>
    <row r="158" spans="1:5">
      <c r="A158" s="59"/>
      <c r="B158" s="289">
        <f t="shared" si="4"/>
        <v>218</v>
      </c>
      <c r="D158" s="225">
        <f>$G$35*(SIN(RADIANS(B158)))</f>
        <v>-20.008997948083891</v>
      </c>
      <c r="E158" s="60">
        <f>$G$35*SIN(RADIANS(B158-90))</f>
        <v>25.610349492218464</v>
      </c>
    </row>
    <row r="159" spans="1:5">
      <c r="A159" s="59"/>
      <c r="B159" s="289">
        <f t="shared" si="4"/>
        <v>237</v>
      </c>
      <c r="D159" s="225">
        <f>$G$35*(SIN(RADIANS(B159)))</f>
        <v>-27.25679345822628</v>
      </c>
      <c r="E159" s="60">
        <f>$G$35*SIN(RADIANS(B159-90))</f>
        <v>17.700768637988386</v>
      </c>
    </row>
    <row r="160" spans="1:5" ht="13.5" thickBot="1">
      <c r="A160" s="61"/>
      <c r="B160" s="295">
        <f t="shared" si="4"/>
        <v>252.8</v>
      </c>
      <c r="D160" s="232">
        <f>$G$35*(SIN(RADIANS(B160)))</f>
        <v>-31.046546768976167</v>
      </c>
      <c r="E160" s="62">
        <f>$G$35*SIN(RADIANS(B160-90))</f>
        <v>9.6105116264315065</v>
      </c>
    </row>
    <row r="161" ht="13.5" thickTop="1"/>
  </sheetData>
  <pageMargins left="0.75" right="0.75" top="1" bottom="1" header="0.5" footer="0.5"/>
  <pageSetup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B3:O157"/>
  <sheetViews>
    <sheetView workbookViewId="0">
      <selection activeCell="F3" sqref="F3"/>
    </sheetView>
  </sheetViews>
  <sheetFormatPr defaultRowHeight="12.75"/>
  <cols>
    <col min="2" max="2" width="24" customWidth="1"/>
  </cols>
  <sheetData>
    <row r="3" spans="2:4" ht="25.5">
      <c r="B3" s="118" t="s">
        <v>571</v>
      </c>
      <c r="C3">
        <v>145</v>
      </c>
    </row>
    <row r="4" spans="2:4">
      <c r="B4" s="113" t="s">
        <v>556</v>
      </c>
      <c r="C4">
        <v>222</v>
      </c>
      <c r="D4">
        <f>C4/4.4482</f>
        <v>49.907827885436809</v>
      </c>
    </row>
    <row r="5" spans="2:4">
      <c r="B5" s="113" t="s">
        <v>557</v>
      </c>
      <c r="C5" s="206" t="s">
        <v>559</v>
      </c>
      <c r="D5" s="113" t="s">
        <v>558</v>
      </c>
    </row>
    <row r="6" spans="2:4">
      <c r="B6" s="113" t="s">
        <v>560</v>
      </c>
      <c r="C6">
        <v>0.16969999999999999</v>
      </c>
    </row>
    <row r="7" spans="2:4">
      <c r="B7" s="113" t="s">
        <v>561</v>
      </c>
      <c r="C7">
        <f>(PI()/4)*(C6*25.4)^2</f>
        <v>14.592207586722855</v>
      </c>
    </row>
    <row r="8" spans="2:4">
      <c r="B8" s="113" t="s">
        <v>562</v>
      </c>
      <c r="C8" s="157">
        <f>C4/C7</f>
        <v>15.213599359838682</v>
      </c>
    </row>
    <row r="10" spans="2:4" ht="18">
      <c r="B10" s="73" t="s">
        <v>563</v>
      </c>
    </row>
    <row r="11" spans="2:4">
      <c r="B11" t="s">
        <v>564</v>
      </c>
      <c r="C11">
        <v>5.52</v>
      </c>
    </row>
    <row r="12" spans="2:4">
      <c r="B12" t="s">
        <v>565</v>
      </c>
      <c r="C12">
        <v>117</v>
      </c>
    </row>
    <row r="13" spans="2:4">
      <c r="B13" s="113" t="s">
        <v>566</v>
      </c>
      <c r="C13">
        <v>19.8</v>
      </c>
    </row>
    <row r="14" spans="2:4">
      <c r="B14" s="113" t="s">
        <v>567</v>
      </c>
      <c r="C14">
        <f>(C8*C3)/(C11*1000)</f>
        <v>0.39963259187982048</v>
      </c>
    </row>
    <row r="15" spans="2:4">
      <c r="B15" s="113" t="s">
        <v>568</v>
      </c>
      <c r="C15">
        <f>(C14/C3)*100</f>
        <v>0.27560868405504862</v>
      </c>
    </row>
    <row r="16" spans="2:4">
      <c r="B16" s="113" t="s">
        <v>569</v>
      </c>
      <c r="C16">
        <f>365*10*24</f>
        <v>87600</v>
      </c>
    </row>
    <row r="18" spans="2:15" ht="15.75">
      <c r="B18" s="74" t="s">
        <v>570</v>
      </c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</row>
    <row r="24" spans="2:15" ht="15">
      <c r="B24" s="207"/>
      <c r="C24" s="208"/>
      <c r="E24" s="207"/>
      <c r="F24" s="208"/>
    </row>
    <row r="25" spans="2:15" ht="15">
      <c r="B25" s="207"/>
      <c r="C25" s="207"/>
      <c r="E25" s="207"/>
      <c r="F25" s="207"/>
    </row>
    <row r="26" spans="2:15">
      <c r="B26" s="208"/>
      <c r="C26" s="208"/>
      <c r="E26" s="208"/>
      <c r="F26" s="208"/>
    </row>
    <row r="27" spans="2:15">
      <c r="B27" s="208"/>
      <c r="C27" s="208"/>
      <c r="E27" s="208"/>
      <c r="F27" s="208"/>
    </row>
    <row r="28" spans="2:15">
      <c r="B28" s="208"/>
      <c r="C28" s="208"/>
      <c r="E28" s="208"/>
      <c r="F28" s="208"/>
    </row>
    <row r="29" spans="2:15">
      <c r="B29" s="208"/>
      <c r="C29" s="208"/>
      <c r="E29" s="208"/>
      <c r="F29" s="208"/>
    </row>
    <row r="30" spans="2:15">
      <c r="B30" s="208"/>
      <c r="C30" s="208"/>
      <c r="E30" s="208"/>
      <c r="F30" s="208"/>
    </row>
    <row r="31" spans="2:15">
      <c r="B31" s="208"/>
      <c r="C31" s="208"/>
      <c r="E31" s="208"/>
      <c r="F31" s="208"/>
    </row>
    <row r="32" spans="2:15">
      <c r="B32" s="208"/>
      <c r="C32" s="208"/>
      <c r="E32" s="208"/>
      <c r="F32" s="208"/>
    </row>
    <row r="33" spans="2:6">
      <c r="B33" s="208"/>
      <c r="C33" s="208"/>
      <c r="E33" s="208"/>
      <c r="F33" s="208"/>
    </row>
    <row r="34" spans="2:6">
      <c r="B34" s="208"/>
      <c r="C34" s="208"/>
      <c r="E34" s="208"/>
      <c r="F34" s="208"/>
    </row>
    <row r="35" spans="2:6">
      <c r="B35" s="208"/>
      <c r="C35" s="208"/>
      <c r="E35" s="208"/>
      <c r="F35" s="208"/>
    </row>
    <row r="36" spans="2:6">
      <c r="B36" s="208"/>
      <c r="C36" s="208"/>
      <c r="E36" s="208"/>
      <c r="F36" s="208"/>
    </row>
    <row r="37" spans="2:6">
      <c r="B37" s="208"/>
      <c r="C37" s="208"/>
      <c r="E37" s="208"/>
      <c r="F37" s="208"/>
    </row>
    <row r="38" spans="2:6">
      <c r="B38" s="208"/>
      <c r="C38" s="208"/>
      <c r="E38" s="208"/>
      <c r="F38" s="208"/>
    </row>
    <row r="39" spans="2:6">
      <c r="B39" s="208"/>
      <c r="C39" s="208"/>
      <c r="E39" s="208"/>
      <c r="F39" s="208"/>
    </row>
    <row r="40" spans="2:6">
      <c r="B40" s="208"/>
      <c r="C40" s="208"/>
      <c r="E40" s="208"/>
      <c r="F40" s="208"/>
    </row>
    <row r="41" spans="2:6">
      <c r="B41" s="208"/>
      <c r="C41" s="208"/>
      <c r="E41" s="208"/>
      <c r="F41" s="208"/>
    </row>
    <row r="42" spans="2:6">
      <c r="B42" s="208"/>
      <c r="C42" s="208"/>
      <c r="E42" s="208"/>
      <c r="F42" s="208"/>
    </row>
    <row r="43" spans="2:6">
      <c r="B43" s="208"/>
      <c r="C43" s="208"/>
      <c r="E43" s="208"/>
      <c r="F43" s="208"/>
    </row>
    <row r="44" spans="2:6">
      <c r="B44" s="208"/>
      <c r="C44" s="208"/>
      <c r="E44" s="208"/>
      <c r="F44" s="208"/>
    </row>
    <row r="45" spans="2:6">
      <c r="B45" s="208"/>
      <c r="C45" s="208"/>
      <c r="E45" s="208"/>
      <c r="F45" s="208"/>
    </row>
    <row r="46" spans="2:6">
      <c r="B46" s="208"/>
      <c r="C46" s="208"/>
      <c r="E46" s="208"/>
      <c r="F46" s="208"/>
    </row>
    <row r="47" spans="2:6">
      <c r="B47" s="208"/>
      <c r="C47" s="208"/>
      <c r="E47" s="208"/>
      <c r="F47" s="208"/>
    </row>
    <row r="48" spans="2:6">
      <c r="B48" s="208"/>
      <c r="C48" s="208"/>
      <c r="E48" s="208"/>
      <c r="F48" s="208"/>
    </row>
    <row r="49" spans="2:6">
      <c r="B49" s="208"/>
      <c r="C49" s="208"/>
      <c r="E49" s="208"/>
      <c r="F49" s="208"/>
    </row>
    <row r="50" spans="2:6">
      <c r="B50" s="208"/>
      <c r="C50" s="208"/>
      <c r="E50" s="208"/>
      <c r="F50" s="208"/>
    </row>
    <row r="51" spans="2:6">
      <c r="B51" s="208"/>
      <c r="C51" s="208"/>
      <c r="E51" s="208"/>
      <c r="F51" s="208"/>
    </row>
    <row r="52" spans="2:6">
      <c r="B52" s="208"/>
      <c r="C52" s="208"/>
      <c r="E52" s="208"/>
      <c r="F52" s="208"/>
    </row>
    <row r="53" spans="2:6">
      <c r="B53" s="208"/>
      <c r="C53" s="208"/>
      <c r="E53" s="208"/>
      <c r="F53" s="208"/>
    </row>
    <row r="54" spans="2:6">
      <c r="B54" s="208"/>
      <c r="C54" s="208"/>
      <c r="E54" s="208"/>
      <c r="F54" s="208"/>
    </row>
    <row r="55" spans="2:6">
      <c r="B55" s="208"/>
      <c r="C55" s="208"/>
      <c r="E55" s="208"/>
      <c r="F55" s="208"/>
    </row>
    <row r="56" spans="2:6">
      <c r="B56" s="208"/>
      <c r="C56" s="208"/>
      <c r="E56" s="208"/>
      <c r="F56" s="208"/>
    </row>
    <row r="57" spans="2:6">
      <c r="B57" s="208"/>
      <c r="C57" s="208"/>
      <c r="E57" s="208"/>
      <c r="F57" s="208"/>
    </row>
    <row r="58" spans="2:6">
      <c r="B58" s="208"/>
      <c r="C58" s="208"/>
      <c r="E58" s="208"/>
      <c r="F58" s="208"/>
    </row>
    <row r="59" spans="2:6">
      <c r="B59" s="208"/>
      <c r="C59" s="208"/>
      <c r="E59" s="208"/>
      <c r="F59" s="208"/>
    </row>
    <row r="60" spans="2:6">
      <c r="B60" s="208"/>
      <c r="C60" s="208"/>
      <c r="E60" s="208"/>
      <c r="F60" s="208"/>
    </row>
    <row r="61" spans="2:6">
      <c r="B61" s="208"/>
      <c r="C61" s="208"/>
      <c r="E61" s="208"/>
      <c r="F61" s="208"/>
    </row>
    <row r="62" spans="2:6">
      <c r="B62" s="208"/>
      <c r="C62" s="208"/>
      <c r="E62" s="208"/>
      <c r="F62" s="208"/>
    </row>
    <row r="63" spans="2:6">
      <c r="B63" s="208"/>
      <c r="C63" s="208"/>
      <c r="E63" s="208"/>
      <c r="F63" s="208"/>
    </row>
    <row r="64" spans="2:6">
      <c r="B64" s="208"/>
      <c r="C64" s="208"/>
      <c r="E64" s="208"/>
      <c r="F64" s="208"/>
    </row>
    <row r="65" spans="2:6">
      <c r="B65" s="208"/>
      <c r="C65" s="208"/>
      <c r="E65" s="208"/>
      <c r="F65" s="208"/>
    </row>
    <row r="66" spans="2:6">
      <c r="B66" s="208"/>
      <c r="C66" s="208"/>
      <c r="E66" s="208"/>
      <c r="F66" s="208"/>
    </row>
    <row r="67" spans="2:6">
      <c r="B67" s="208"/>
      <c r="C67" s="208"/>
      <c r="E67" s="208"/>
      <c r="F67" s="208"/>
    </row>
    <row r="68" spans="2:6">
      <c r="B68" s="208"/>
      <c r="C68" s="208"/>
      <c r="E68" s="208"/>
      <c r="F68" s="208"/>
    </row>
    <row r="69" spans="2:6">
      <c r="B69" s="208"/>
      <c r="C69" s="208"/>
      <c r="E69" s="208"/>
      <c r="F69" s="208"/>
    </row>
    <row r="70" spans="2:6">
      <c r="B70" s="208"/>
      <c r="C70" s="208"/>
      <c r="E70" s="208"/>
      <c r="F70" s="208"/>
    </row>
    <row r="71" spans="2:6">
      <c r="B71" s="208"/>
      <c r="C71" s="208"/>
      <c r="E71" s="208"/>
      <c r="F71" s="208"/>
    </row>
    <row r="72" spans="2:6">
      <c r="B72" s="208"/>
      <c r="C72" s="208"/>
      <c r="E72" s="208"/>
      <c r="F72" s="208"/>
    </row>
    <row r="73" spans="2:6">
      <c r="B73" s="208"/>
      <c r="C73" s="208"/>
      <c r="E73" s="208"/>
      <c r="F73" s="208"/>
    </row>
    <row r="74" spans="2:6">
      <c r="B74" s="208"/>
      <c r="C74" s="208"/>
      <c r="E74" s="208"/>
      <c r="F74" s="208"/>
    </row>
    <row r="75" spans="2:6">
      <c r="B75" s="208"/>
      <c r="C75" s="208"/>
      <c r="E75" s="208"/>
      <c r="F75" s="208"/>
    </row>
    <row r="76" spans="2:6">
      <c r="B76" s="208"/>
      <c r="C76" s="208"/>
      <c r="E76" s="208"/>
      <c r="F76" s="208"/>
    </row>
    <row r="77" spans="2:6">
      <c r="B77" s="208"/>
      <c r="C77" s="208"/>
      <c r="E77" s="208"/>
      <c r="F77" s="208"/>
    </row>
    <row r="78" spans="2:6">
      <c r="B78" s="208"/>
      <c r="C78" s="208"/>
      <c r="E78" s="208"/>
      <c r="F78" s="208"/>
    </row>
    <row r="79" spans="2:6">
      <c r="B79" s="208"/>
      <c r="C79" s="208"/>
      <c r="E79" s="208"/>
      <c r="F79" s="208"/>
    </row>
    <row r="80" spans="2:6">
      <c r="B80" s="208"/>
      <c r="C80" s="208"/>
      <c r="E80" s="208"/>
      <c r="F80" s="208"/>
    </row>
    <row r="81" spans="2:6">
      <c r="B81" s="208"/>
      <c r="C81" s="208"/>
      <c r="E81" s="208"/>
      <c r="F81" s="208"/>
    </row>
    <row r="82" spans="2:6">
      <c r="B82" s="208"/>
      <c r="C82" s="208"/>
      <c r="E82" s="208"/>
      <c r="F82" s="208"/>
    </row>
    <row r="83" spans="2:6">
      <c r="B83" s="208"/>
      <c r="C83" s="208"/>
      <c r="E83" s="208"/>
      <c r="F83" s="208"/>
    </row>
    <row r="84" spans="2:6">
      <c r="B84" s="208"/>
      <c r="C84" s="208"/>
      <c r="E84" s="208"/>
      <c r="F84" s="208"/>
    </row>
    <row r="85" spans="2:6">
      <c r="B85" s="208"/>
      <c r="C85" s="208"/>
      <c r="E85" s="208"/>
      <c r="F85" s="208"/>
    </row>
    <row r="86" spans="2:6">
      <c r="B86" s="208"/>
      <c r="C86" s="208"/>
      <c r="E86" s="208"/>
      <c r="F86" s="208"/>
    </row>
    <row r="87" spans="2:6">
      <c r="B87" s="208"/>
      <c r="C87" s="208"/>
      <c r="E87" s="208"/>
      <c r="F87" s="208"/>
    </row>
    <row r="88" spans="2:6">
      <c r="B88" s="208"/>
      <c r="C88" s="208"/>
      <c r="E88" s="208"/>
      <c r="F88" s="208"/>
    </row>
    <row r="89" spans="2:6">
      <c r="B89" s="208"/>
      <c r="C89" s="208"/>
      <c r="E89" s="208"/>
      <c r="F89" s="208"/>
    </row>
    <row r="90" spans="2:6">
      <c r="B90" s="208"/>
      <c r="C90" s="208"/>
      <c r="E90" s="208"/>
      <c r="F90" s="208"/>
    </row>
    <row r="91" spans="2:6">
      <c r="B91" s="208"/>
      <c r="C91" s="208"/>
      <c r="E91" s="208"/>
      <c r="F91" s="208"/>
    </row>
    <row r="92" spans="2:6">
      <c r="B92" s="208"/>
      <c r="C92" s="208"/>
      <c r="E92" s="208"/>
      <c r="F92" s="208"/>
    </row>
    <row r="93" spans="2:6">
      <c r="B93" s="208"/>
      <c r="C93" s="208"/>
      <c r="E93" s="208"/>
      <c r="F93" s="208"/>
    </row>
    <row r="94" spans="2:6">
      <c r="B94" s="208"/>
      <c r="C94" s="208"/>
      <c r="E94" s="208"/>
      <c r="F94" s="208"/>
    </row>
    <row r="95" spans="2:6">
      <c r="B95" s="208"/>
      <c r="C95" s="208"/>
      <c r="E95" s="208"/>
      <c r="F95" s="208"/>
    </row>
    <row r="96" spans="2:6">
      <c r="B96" s="208"/>
      <c r="C96" s="208"/>
      <c r="E96" s="208"/>
      <c r="F96" s="208"/>
    </row>
    <row r="97" spans="2:6">
      <c r="B97" s="208"/>
      <c r="C97" s="208"/>
      <c r="E97" s="208"/>
      <c r="F97" s="208"/>
    </row>
    <row r="98" spans="2:6">
      <c r="B98" s="208"/>
      <c r="C98" s="208"/>
      <c r="E98" s="208"/>
      <c r="F98" s="208"/>
    </row>
    <row r="99" spans="2:6">
      <c r="B99" s="208"/>
      <c r="C99" s="208"/>
      <c r="E99" s="208"/>
      <c r="F99" s="208"/>
    </row>
    <row r="100" spans="2:6">
      <c r="B100" s="208"/>
      <c r="C100" s="208"/>
      <c r="E100" s="208"/>
      <c r="F100" s="208"/>
    </row>
    <row r="101" spans="2:6">
      <c r="B101" s="208"/>
      <c r="C101" s="208"/>
      <c r="E101" s="208"/>
      <c r="F101" s="208"/>
    </row>
    <row r="102" spans="2:6">
      <c r="B102" s="208"/>
      <c r="C102" s="208"/>
      <c r="E102" s="208"/>
      <c r="F102" s="208"/>
    </row>
    <row r="103" spans="2:6">
      <c r="B103" s="208"/>
      <c r="C103" s="208"/>
      <c r="E103" s="208"/>
      <c r="F103" s="208"/>
    </row>
    <row r="104" spans="2:6">
      <c r="B104" s="208"/>
      <c r="C104" s="208"/>
      <c r="E104" s="208"/>
      <c r="F104" s="208"/>
    </row>
    <row r="105" spans="2:6">
      <c r="B105" s="208"/>
      <c r="C105" s="208"/>
      <c r="E105" s="208"/>
      <c r="F105" s="208"/>
    </row>
    <row r="106" spans="2:6">
      <c r="B106" s="208"/>
      <c r="C106" s="208"/>
      <c r="E106" s="208"/>
      <c r="F106" s="208"/>
    </row>
    <row r="107" spans="2:6">
      <c r="B107" s="208"/>
      <c r="C107" s="208"/>
      <c r="E107" s="208"/>
      <c r="F107" s="208"/>
    </row>
    <row r="108" spans="2:6">
      <c r="B108" s="208"/>
      <c r="C108" s="208"/>
      <c r="E108" s="208"/>
      <c r="F108" s="208"/>
    </row>
    <row r="109" spans="2:6">
      <c r="B109" s="208"/>
      <c r="C109" s="208"/>
      <c r="E109" s="208"/>
      <c r="F109" s="208"/>
    </row>
    <row r="110" spans="2:6">
      <c r="B110" s="208"/>
      <c r="C110" s="208"/>
      <c r="E110" s="208"/>
      <c r="F110" s="208"/>
    </row>
    <row r="111" spans="2:6">
      <c r="B111" s="208"/>
      <c r="C111" s="208"/>
      <c r="E111" s="208"/>
      <c r="F111" s="208"/>
    </row>
    <row r="112" spans="2:6">
      <c r="B112" s="208"/>
      <c r="C112" s="208"/>
      <c r="E112" s="208"/>
      <c r="F112" s="208"/>
    </row>
    <row r="113" spans="2:6">
      <c r="B113" s="208"/>
      <c r="C113" s="208"/>
      <c r="E113" s="208"/>
      <c r="F113" s="208"/>
    </row>
    <row r="114" spans="2:6">
      <c r="B114" s="208"/>
      <c r="C114" s="208"/>
      <c r="E114" s="208"/>
      <c r="F114" s="208"/>
    </row>
    <row r="115" spans="2:6">
      <c r="B115" s="208"/>
      <c r="C115" s="208"/>
      <c r="E115" s="208"/>
      <c r="F115" s="208"/>
    </row>
    <row r="116" spans="2:6">
      <c r="B116" s="208"/>
      <c r="C116" s="208"/>
      <c r="E116" s="208"/>
      <c r="F116" s="208"/>
    </row>
    <row r="117" spans="2:6">
      <c r="B117" s="208"/>
      <c r="C117" s="208"/>
      <c r="E117" s="208"/>
      <c r="F117" s="208"/>
    </row>
    <row r="118" spans="2:6">
      <c r="B118" s="208"/>
      <c r="C118" s="208"/>
      <c r="E118" s="208"/>
      <c r="F118" s="208"/>
    </row>
    <row r="119" spans="2:6">
      <c r="B119" s="208"/>
      <c r="C119" s="208"/>
      <c r="E119" s="208"/>
      <c r="F119" s="208"/>
    </row>
    <row r="120" spans="2:6">
      <c r="B120" s="208"/>
      <c r="C120" s="208"/>
      <c r="E120" s="208"/>
      <c r="F120" s="208"/>
    </row>
    <row r="121" spans="2:6">
      <c r="B121" s="208"/>
      <c r="C121" s="208"/>
      <c r="E121" s="208"/>
      <c r="F121" s="208"/>
    </row>
    <row r="122" spans="2:6">
      <c r="B122" s="208"/>
      <c r="C122" s="208"/>
      <c r="E122" s="208"/>
      <c r="F122" s="208"/>
    </row>
    <row r="123" spans="2:6">
      <c r="B123" s="208"/>
      <c r="C123" s="208"/>
      <c r="E123" s="208"/>
      <c r="F123" s="208"/>
    </row>
    <row r="124" spans="2:6">
      <c r="B124" s="208"/>
      <c r="C124" s="208"/>
      <c r="E124" s="208"/>
      <c r="F124" s="208"/>
    </row>
    <row r="125" spans="2:6">
      <c r="B125" s="208"/>
      <c r="C125" s="208"/>
      <c r="E125" s="208"/>
      <c r="F125" s="208"/>
    </row>
    <row r="126" spans="2:6">
      <c r="B126" s="208"/>
      <c r="C126" s="208"/>
      <c r="E126" s="208"/>
      <c r="F126" s="208"/>
    </row>
    <row r="127" spans="2:6">
      <c r="B127" s="208"/>
      <c r="C127" s="208"/>
      <c r="E127" s="208"/>
      <c r="F127" s="208"/>
    </row>
    <row r="128" spans="2:6">
      <c r="B128" s="208"/>
      <c r="C128" s="208"/>
      <c r="E128" s="208"/>
      <c r="F128" s="208"/>
    </row>
    <row r="129" spans="2:6">
      <c r="B129" s="208"/>
      <c r="C129" s="208"/>
      <c r="E129" s="208"/>
      <c r="F129" s="208"/>
    </row>
    <row r="130" spans="2:6">
      <c r="B130" s="208"/>
      <c r="C130" s="208"/>
      <c r="E130" s="208"/>
      <c r="F130" s="208"/>
    </row>
    <row r="131" spans="2:6">
      <c r="B131" s="208"/>
      <c r="C131" s="208"/>
      <c r="E131" s="208"/>
      <c r="F131" s="208"/>
    </row>
    <row r="132" spans="2:6">
      <c r="B132" s="208"/>
      <c r="C132" s="208"/>
      <c r="E132" s="208"/>
      <c r="F132" s="208"/>
    </row>
    <row r="133" spans="2:6">
      <c r="B133" s="208"/>
      <c r="C133" s="208"/>
      <c r="E133" s="208"/>
      <c r="F133" s="208"/>
    </row>
    <row r="134" spans="2:6">
      <c r="B134" s="208"/>
      <c r="C134" s="208"/>
      <c r="E134" s="208"/>
      <c r="F134" s="208"/>
    </row>
    <row r="135" spans="2:6">
      <c r="B135" s="208"/>
      <c r="C135" s="208"/>
      <c r="E135" s="208"/>
      <c r="F135" s="208"/>
    </row>
    <row r="136" spans="2:6">
      <c r="B136" s="208"/>
      <c r="C136" s="208"/>
      <c r="E136" s="208"/>
      <c r="F136" s="208"/>
    </row>
    <row r="137" spans="2:6">
      <c r="B137" s="208"/>
      <c r="C137" s="208"/>
      <c r="E137" s="208"/>
      <c r="F137" s="208"/>
    </row>
    <row r="138" spans="2:6">
      <c r="B138" s="208"/>
      <c r="C138" s="208"/>
      <c r="E138" s="208"/>
      <c r="F138" s="208"/>
    </row>
    <row r="139" spans="2:6">
      <c r="B139" s="208"/>
      <c r="C139" s="208"/>
      <c r="E139" s="208"/>
      <c r="F139" s="208"/>
    </row>
    <row r="140" spans="2:6">
      <c r="B140" s="208"/>
      <c r="C140" s="208"/>
      <c r="E140" s="208"/>
      <c r="F140" s="208"/>
    </row>
    <row r="141" spans="2:6">
      <c r="B141" s="208"/>
      <c r="C141" s="208"/>
      <c r="E141" s="208"/>
      <c r="F141" s="208"/>
    </row>
    <row r="142" spans="2:6">
      <c r="B142" s="208"/>
      <c r="C142" s="208"/>
      <c r="E142" s="208"/>
      <c r="F142" s="208"/>
    </row>
    <row r="143" spans="2:6">
      <c r="B143" s="208"/>
      <c r="C143" s="208"/>
      <c r="E143" s="208"/>
      <c r="F143" s="208"/>
    </row>
    <row r="144" spans="2:6">
      <c r="B144" s="208"/>
      <c r="C144" s="208"/>
      <c r="E144" s="208"/>
      <c r="F144" s="208"/>
    </row>
    <row r="145" spans="2:6">
      <c r="B145" s="208"/>
      <c r="C145" s="208"/>
      <c r="E145" s="208"/>
      <c r="F145" s="208"/>
    </row>
    <row r="146" spans="2:6">
      <c r="B146" s="208"/>
      <c r="C146" s="208"/>
      <c r="E146" s="208"/>
      <c r="F146" s="208"/>
    </row>
    <row r="147" spans="2:6">
      <c r="B147" s="208"/>
      <c r="C147" s="208"/>
      <c r="E147" s="208"/>
      <c r="F147" s="208"/>
    </row>
    <row r="148" spans="2:6">
      <c r="B148" s="208"/>
      <c r="C148" s="208"/>
      <c r="E148" s="208"/>
      <c r="F148" s="208"/>
    </row>
    <row r="149" spans="2:6">
      <c r="B149" s="208"/>
      <c r="C149" s="208"/>
      <c r="E149" s="208"/>
      <c r="F149" s="208"/>
    </row>
    <row r="150" spans="2:6">
      <c r="B150" s="208"/>
      <c r="C150" s="208"/>
      <c r="E150" s="208"/>
      <c r="F150" s="208"/>
    </row>
    <row r="151" spans="2:6">
      <c r="B151" s="208"/>
      <c r="C151" s="208"/>
      <c r="E151" s="208"/>
      <c r="F151" s="208"/>
    </row>
    <row r="152" spans="2:6">
      <c r="B152" s="208"/>
      <c r="C152" s="208"/>
      <c r="E152" s="208"/>
      <c r="F152" s="208"/>
    </row>
    <row r="153" spans="2:6">
      <c r="B153" s="208"/>
      <c r="C153" s="208"/>
      <c r="E153" s="208"/>
      <c r="F153" s="208"/>
    </row>
    <row r="154" spans="2:6">
      <c r="B154" s="208"/>
      <c r="C154" s="208"/>
      <c r="E154" s="208"/>
      <c r="F154" s="208"/>
    </row>
    <row r="155" spans="2:6">
      <c r="B155" s="208"/>
      <c r="C155" s="208"/>
      <c r="E155" s="208"/>
      <c r="F155" s="208"/>
    </row>
    <row r="156" spans="2:6">
      <c r="B156" s="208"/>
      <c r="C156" s="208"/>
      <c r="E156" s="208"/>
      <c r="F156" s="208"/>
    </row>
    <row r="157" spans="2:6">
      <c r="B157" s="208"/>
      <c r="C157" s="208"/>
      <c r="E157" s="208"/>
      <c r="F157" s="208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2:B9"/>
  <sheetViews>
    <sheetView workbookViewId="0">
      <selection activeCell="B10" sqref="B10"/>
    </sheetView>
  </sheetViews>
  <sheetFormatPr defaultRowHeight="12.75"/>
  <cols>
    <col min="1" max="1" width="23.140625" customWidth="1"/>
    <col min="2" max="2" width="11.42578125" bestFit="1" customWidth="1"/>
  </cols>
  <sheetData>
    <row r="2" spans="1:2">
      <c r="A2" t="s">
        <v>577</v>
      </c>
    </row>
    <row r="6" spans="1:2">
      <c r="A6" t="s">
        <v>578</v>
      </c>
      <c r="B6">
        <v>5</v>
      </c>
    </row>
    <row r="7" spans="1:2" ht="25.5">
      <c r="A7" s="118" t="s">
        <v>579</v>
      </c>
      <c r="B7">
        <v>25</v>
      </c>
    </row>
    <row r="8" spans="1:2">
      <c r="A8" s="113" t="s">
        <v>580</v>
      </c>
      <c r="B8">
        <f>(B7*1000)/B6</f>
        <v>5000</v>
      </c>
    </row>
    <row r="9" spans="1:2">
      <c r="A9" s="113" t="s">
        <v>581</v>
      </c>
      <c r="B9">
        <f>(PI()*(B6/1000)^2)/4</f>
        <v>1.9634954084936207E-5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B3:E41"/>
  <sheetViews>
    <sheetView workbookViewId="0">
      <selection activeCell="B42" sqref="B42"/>
    </sheetView>
  </sheetViews>
  <sheetFormatPr defaultRowHeight="12.75"/>
  <cols>
    <col min="2" max="2" width="35.42578125" customWidth="1"/>
    <col min="3" max="3" width="24.7109375" customWidth="1"/>
    <col min="4" max="4" width="5.85546875" customWidth="1"/>
    <col min="5" max="5" width="14.42578125" customWidth="1"/>
    <col min="6" max="6" width="20.42578125" customWidth="1"/>
  </cols>
  <sheetData>
    <row r="3" spans="2:5" ht="13.5" thickBot="1"/>
    <row r="4" spans="2:5" ht="13.5" thickTop="1">
      <c r="B4" s="11" t="s">
        <v>619</v>
      </c>
      <c r="C4" s="126" t="s">
        <v>626</v>
      </c>
      <c r="D4" s="126" t="s">
        <v>624</v>
      </c>
      <c r="E4" s="127" t="s">
        <v>627</v>
      </c>
    </row>
    <row r="5" spans="2:5" ht="13.5" thickBot="1">
      <c r="B5" s="21" t="s">
        <v>620</v>
      </c>
      <c r="C5" s="22" t="s">
        <v>621</v>
      </c>
      <c r="D5" s="22">
        <v>212</v>
      </c>
      <c r="E5" s="235" t="s">
        <v>625</v>
      </c>
    </row>
    <row r="6" spans="2:5" ht="13.5" thickTop="1">
      <c r="B6" s="59"/>
      <c r="C6" s="225"/>
      <c r="D6" s="225"/>
      <c r="E6" s="60"/>
    </row>
    <row r="7" spans="2:5" ht="13.5" thickBot="1">
      <c r="B7" s="59"/>
      <c r="C7" s="225"/>
      <c r="D7" s="225"/>
      <c r="E7" s="60"/>
    </row>
    <row r="8" spans="2:5" ht="13.5" thickTop="1">
      <c r="B8" s="11" t="s">
        <v>585</v>
      </c>
      <c r="C8" s="145" t="s">
        <v>586</v>
      </c>
      <c r="D8" s="225"/>
      <c r="E8" s="60"/>
    </row>
    <row r="9" spans="2:5">
      <c r="B9" s="15" t="s">
        <v>587</v>
      </c>
      <c r="C9" s="236" t="s">
        <v>623</v>
      </c>
      <c r="D9" s="225"/>
      <c r="E9" s="60"/>
    </row>
    <row r="10" spans="2:5" ht="13.5" thickBot="1">
      <c r="B10" s="21" t="s">
        <v>582</v>
      </c>
      <c r="C10" s="235" t="s">
        <v>618</v>
      </c>
      <c r="D10" s="232"/>
      <c r="E10" s="62"/>
    </row>
    <row r="11" spans="2:5" ht="13.5" thickTop="1"/>
    <row r="13" spans="2:5">
      <c r="B13" t="s">
        <v>583</v>
      </c>
      <c r="C13">
        <v>31.25</v>
      </c>
    </row>
    <row r="14" spans="2:5">
      <c r="B14" t="s">
        <v>584</v>
      </c>
      <c r="C14">
        <v>0.26</v>
      </c>
    </row>
    <row r="20" spans="2:5">
      <c r="D20" s="113" t="s">
        <v>622</v>
      </c>
    </row>
    <row r="26" spans="2:5" ht="18">
      <c r="B26" s="73" t="s">
        <v>628</v>
      </c>
    </row>
    <row r="27" spans="2:5" ht="13.5" thickBot="1"/>
    <row r="28" spans="2:5" ht="13.5" thickTop="1">
      <c r="B28" s="11" t="s">
        <v>619</v>
      </c>
      <c r="C28" s="126" t="s">
        <v>626</v>
      </c>
      <c r="D28" s="126" t="s">
        <v>624</v>
      </c>
      <c r="E28" s="127" t="s">
        <v>627</v>
      </c>
    </row>
    <row r="29" spans="2:5" ht="13.5" thickBot="1">
      <c r="B29" s="21" t="s">
        <v>620</v>
      </c>
      <c r="C29" s="22" t="s">
        <v>621</v>
      </c>
      <c r="D29" s="22">
        <v>212</v>
      </c>
      <c r="E29" s="235" t="s">
        <v>625</v>
      </c>
    </row>
    <row r="30" spans="2:5" ht="13.5" thickTop="1">
      <c r="B30" s="59"/>
      <c r="C30" s="225"/>
      <c r="D30" s="225"/>
      <c r="E30" s="60"/>
    </row>
    <row r="31" spans="2:5" ht="13.5" thickBot="1">
      <c r="B31" s="59"/>
      <c r="C31" s="225"/>
      <c r="D31" s="225"/>
      <c r="E31" s="60"/>
    </row>
    <row r="32" spans="2:5" ht="13.5" thickTop="1">
      <c r="B32" s="11" t="s">
        <v>585</v>
      </c>
      <c r="C32" s="238" t="s">
        <v>630</v>
      </c>
      <c r="D32" s="225"/>
      <c r="E32" s="60"/>
    </row>
    <row r="33" spans="2:5">
      <c r="B33" s="15" t="s">
        <v>587</v>
      </c>
      <c r="C33" s="236" t="s">
        <v>623</v>
      </c>
      <c r="D33" s="225"/>
      <c r="E33" s="60"/>
    </row>
    <row r="34" spans="2:5" ht="13.5" thickBot="1">
      <c r="B34" s="21" t="s">
        <v>582</v>
      </c>
      <c r="C34" s="237" t="s">
        <v>631</v>
      </c>
      <c r="D34" s="232"/>
      <c r="E34" s="62"/>
    </row>
    <row r="35" spans="2:5" ht="13.5" thickTop="1"/>
    <row r="36" spans="2:5">
      <c r="B36" s="113" t="s">
        <v>629</v>
      </c>
      <c r="C36">
        <v>230.4</v>
      </c>
    </row>
    <row r="37" spans="2:5">
      <c r="B37" t="s">
        <v>583</v>
      </c>
      <c r="C37">
        <v>62.5</v>
      </c>
    </row>
    <row r="38" spans="2:5">
      <c r="B38" t="s">
        <v>584</v>
      </c>
      <c r="C38">
        <v>0.37</v>
      </c>
    </row>
    <row r="41" spans="2:5">
      <c r="B41" t="s">
        <v>632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124"/>
  <sheetViews>
    <sheetView workbookViewId="0">
      <selection activeCell="E6" sqref="E6"/>
    </sheetView>
  </sheetViews>
  <sheetFormatPr defaultRowHeight="12.75"/>
  <cols>
    <col min="1" max="1" width="16.5703125" customWidth="1"/>
    <col min="3" max="3" width="16.85546875" customWidth="1"/>
    <col min="4" max="4" width="11.7109375" customWidth="1"/>
    <col min="5" max="5" width="17.140625" customWidth="1"/>
    <col min="6" max="6" width="14.42578125" customWidth="1"/>
    <col min="8" max="8" width="8.28515625" customWidth="1"/>
    <col min="9" max="9" width="11" bestFit="1" customWidth="1"/>
    <col min="11" max="11" width="12.42578125" bestFit="1" customWidth="1"/>
    <col min="12" max="12" width="14.7109375" customWidth="1"/>
  </cols>
  <sheetData>
    <row r="1" spans="1:12">
      <c r="A1" t="s">
        <v>594</v>
      </c>
      <c r="E1" s="221">
        <v>6.2349999999999998E-5</v>
      </c>
      <c r="H1" t="s">
        <v>596</v>
      </c>
      <c r="K1">
        <v>20</v>
      </c>
    </row>
    <row r="2" spans="1:12">
      <c r="A2" t="s">
        <v>595</v>
      </c>
      <c r="E2" s="221">
        <v>4.1074999999999998E-4</v>
      </c>
      <c r="H2" t="s">
        <v>597</v>
      </c>
      <c r="K2" s="217">
        <f>K1*(E2/E1)</f>
        <v>131.75621491579793</v>
      </c>
    </row>
    <row r="3" spans="1:12">
      <c r="A3" t="s">
        <v>603</v>
      </c>
      <c r="C3">
        <v>0.02</v>
      </c>
      <c r="E3" s="216"/>
      <c r="G3" s="113" t="s">
        <v>606</v>
      </c>
      <c r="K3">
        <v>1430</v>
      </c>
    </row>
    <row r="4" spans="1:12">
      <c r="A4" t="s">
        <v>604</v>
      </c>
      <c r="C4">
        <v>0.08</v>
      </c>
      <c r="G4" s="113" t="s">
        <v>607</v>
      </c>
      <c r="K4">
        <v>1417</v>
      </c>
    </row>
    <row r="5" spans="1:12">
      <c r="A5" s="113" t="s">
        <v>601</v>
      </c>
      <c r="D5" s="179">
        <v>220</v>
      </c>
      <c r="G5" s="2" t="s">
        <v>608</v>
      </c>
      <c r="K5" s="219">
        <f>(156.577/K3)*SQRT($K$1/$E$1)</f>
        <v>62.013850682687746</v>
      </c>
    </row>
    <row r="6" spans="1:12">
      <c r="A6" s="113" t="s">
        <v>602</v>
      </c>
      <c r="D6" s="179">
        <v>127</v>
      </c>
      <c r="E6" t="s">
        <v>635</v>
      </c>
      <c r="G6" s="2" t="s">
        <v>609</v>
      </c>
      <c r="K6" s="219">
        <f>(156.577/K4)*SQRT($K$2/$E$2)</f>
        <v>62.582785092620661</v>
      </c>
    </row>
    <row r="7" spans="1:12">
      <c r="A7" s="113" t="s">
        <v>598</v>
      </c>
      <c r="D7" s="179">
        <v>1550</v>
      </c>
      <c r="E7" s="113"/>
    </row>
    <row r="8" spans="1:12">
      <c r="A8" s="113" t="s">
        <v>600</v>
      </c>
      <c r="D8" s="179">
        <v>760</v>
      </c>
    </row>
    <row r="9" spans="1:12">
      <c r="A9" s="113" t="s">
        <v>634</v>
      </c>
      <c r="D9" s="179">
        <v>2369</v>
      </c>
      <c r="G9" s="113" t="s">
        <v>614</v>
      </c>
      <c r="K9">
        <f>(19.17*PI()*0.002^2)/4</f>
        <v>6.0224331169316333E-5</v>
      </c>
    </row>
    <row r="10" spans="1:12">
      <c r="A10" s="113" t="s">
        <v>599</v>
      </c>
      <c r="D10" s="179">
        <v>827</v>
      </c>
    </row>
    <row r="11" spans="1:12" ht="26.25" thickBot="1">
      <c r="A11" s="209" t="s">
        <v>588</v>
      </c>
      <c r="B11">
        <v>974</v>
      </c>
    </row>
    <row r="12" spans="1:12" ht="13.5" thickTop="1">
      <c r="G12" s="57"/>
      <c r="H12" s="222"/>
      <c r="I12" s="223" t="s">
        <v>616</v>
      </c>
      <c r="J12" s="224"/>
      <c r="K12" s="222"/>
      <c r="L12" s="58"/>
    </row>
    <row r="13" spans="1:12" ht="42.75" customHeight="1">
      <c r="A13" s="213" t="s">
        <v>589</v>
      </c>
      <c r="B13" s="214" t="s">
        <v>591</v>
      </c>
      <c r="C13" s="215" t="s">
        <v>590</v>
      </c>
      <c r="D13" s="211" t="s">
        <v>592</v>
      </c>
      <c r="E13" s="239" t="s">
        <v>633</v>
      </c>
      <c r="F13" s="118" t="s">
        <v>605</v>
      </c>
      <c r="G13" s="59" t="s">
        <v>610</v>
      </c>
      <c r="H13" s="225" t="s">
        <v>611</v>
      </c>
      <c r="I13" s="226" t="s">
        <v>612</v>
      </c>
      <c r="J13" s="227" t="s">
        <v>617</v>
      </c>
      <c r="K13" s="228" t="s">
        <v>613</v>
      </c>
      <c r="L13" s="229" t="s">
        <v>615</v>
      </c>
    </row>
    <row r="14" spans="1:12">
      <c r="A14">
        <v>1</v>
      </c>
      <c r="B14">
        <v>475</v>
      </c>
      <c r="C14" s="121">
        <f t="shared" ref="C14:C61" si="0">2*SQRT(($B$11/2)^2-B14^2)</f>
        <v>214.88601629701267</v>
      </c>
      <c r="D14" s="210"/>
      <c r="E14" s="240">
        <f t="shared" ref="E14:E61" si="1">(4*9.80665*$K$1*C14)/(PI()*$C$3^2*$D$5*1000000)</f>
        <v>0.60979838864131652</v>
      </c>
      <c r="F14" s="218">
        <f t="shared" ref="F14:F61" si="2">(156.577/C14)*SQRT($K$1/$E$1)</f>
        <v>412.68300285148098</v>
      </c>
      <c r="G14" s="59">
        <v>96</v>
      </c>
      <c r="H14" s="225">
        <v>448</v>
      </c>
      <c r="I14" s="230">
        <f>(SQRT(H14/F14))*$K$1</f>
        <v>20.838224456397562</v>
      </c>
      <c r="J14" s="225">
        <v>433</v>
      </c>
      <c r="K14" s="230">
        <f t="shared" ref="K14:K24" si="3">((H14*C14)/156.577)^2*$K$9</f>
        <v>22.766086805122747</v>
      </c>
      <c r="L14" s="231">
        <v>17.697540639248636</v>
      </c>
    </row>
    <row r="15" spans="1:12">
      <c r="A15">
        <f>A14+1</f>
        <v>2</v>
      </c>
      <c r="B15">
        <f>B14-10</f>
        <v>465</v>
      </c>
      <c r="C15" s="121">
        <f t="shared" si="0"/>
        <v>289.44084024200868</v>
      </c>
      <c r="D15" s="210"/>
      <c r="E15" s="240">
        <f t="shared" si="1"/>
        <v>0.82136828178995513</v>
      </c>
      <c r="F15" s="218">
        <f t="shared" si="2"/>
        <v>306.38318490955209</v>
      </c>
      <c r="G15" s="59">
        <f>G14-1</f>
        <v>95</v>
      </c>
      <c r="H15" s="225">
        <v>326</v>
      </c>
      <c r="I15" s="230">
        <f t="shared" ref="I15:I24" si="4">(SQRT(H15/F15))*$K$1</f>
        <v>20.630337483627301</v>
      </c>
      <c r="J15" s="225">
        <v>313</v>
      </c>
      <c r="K15" s="230">
        <f t="shared" si="3"/>
        <v>21.871112308812304</v>
      </c>
      <c r="L15" s="231">
        <v>18.302405307136056</v>
      </c>
    </row>
    <row r="16" spans="1:12">
      <c r="A16">
        <f t="shared" ref="A16:A61" si="5">A15+1</f>
        <v>3</v>
      </c>
      <c r="B16">
        <f t="shared" ref="B16:B61" si="6">B15-10</f>
        <v>455</v>
      </c>
      <c r="C16" s="121">
        <f t="shared" si="0"/>
        <v>347.24055062737131</v>
      </c>
      <c r="D16" s="210"/>
      <c r="E16" s="240">
        <f t="shared" si="1"/>
        <v>0.98539091511111132</v>
      </c>
      <c r="F16" s="218">
        <f t="shared" si="2"/>
        <v>255.38436198198238</v>
      </c>
      <c r="G16" s="59">
        <f t="shared" ref="G16:G61" si="7">G15-1</f>
        <v>94</v>
      </c>
      <c r="H16" s="225">
        <v>264</v>
      </c>
      <c r="I16" s="230">
        <f t="shared" si="4"/>
        <v>20.334561371934335</v>
      </c>
      <c r="J16" s="225">
        <v>255</v>
      </c>
      <c r="K16" s="230">
        <f t="shared" si="3"/>
        <v>20.643568667170072</v>
      </c>
      <c r="L16" s="231">
        <v>18.029984846829588</v>
      </c>
    </row>
    <row r="17" spans="1:12">
      <c r="A17">
        <f t="shared" si="5"/>
        <v>4</v>
      </c>
      <c r="B17">
        <f t="shared" si="6"/>
        <v>445</v>
      </c>
      <c r="C17" s="121">
        <f t="shared" si="0"/>
        <v>395.69685366451932</v>
      </c>
      <c r="E17" s="240">
        <f t="shared" si="1"/>
        <v>1.1228990509161259</v>
      </c>
      <c r="F17" s="218">
        <f t="shared" si="2"/>
        <v>224.11046652250664</v>
      </c>
      <c r="G17" s="59">
        <f t="shared" si="7"/>
        <v>93</v>
      </c>
      <c r="H17" s="225">
        <v>233</v>
      </c>
      <c r="I17" s="230">
        <f t="shared" si="4"/>
        <v>20.392801238966946</v>
      </c>
      <c r="J17" s="225">
        <v>222</v>
      </c>
      <c r="K17" s="230">
        <f t="shared" si="3"/>
        <v>20.881086198046049</v>
      </c>
      <c r="L17" s="231">
        <v>18.026639815406924</v>
      </c>
    </row>
    <row r="18" spans="1:12">
      <c r="A18">
        <f t="shared" si="5"/>
        <v>5</v>
      </c>
      <c r="B18">
        <f t="shared" si="6"/>
        <v>435</v>
      </c>
      <c r="C18" s="121">
        <f t="shared" si="0"/>
        <v>437.92236754931804</v>
      </c>
      <c r="E18" s="240">
        <f t="shared" si="1"/>
        <v>1.2427256025466975</v>
      </c>
      <c r="F18" s="218">
        <f t="shared" si="2"/>
        <v>202.50120351812473</v>
      </c>
      <c r="G18" s="59">
        <f t="shared" si="7"/>
        <v>92</v>
      </c>
      <c r="H18" s="225">
        <v>207</v>
      </c>
      <c r="I18" s="230">
        <f t="shared" si="4"/>
        <v>20.2209410946734</v>
      </c>
      <c r="J18" s="225">
        <v>197</v>
      </c>
      <c r="K18" s="230">
        <f t="shared" si="3"/>
        <v>20.186033839684168</v>
      </c>
      <c r="L18" s="231">
        <v>17.553194962302022</v>
      </c>
    </row>
    <row r="19" spans="1:12">
      <c r="A19">
        <f t="shared" si="5"/>
        <v>6</v>
      </c>
      <c r="B19">
        <f t="shared" si="6"/>
        <v>425</v>
      </c>
      <c r="C19" s="121">
        <f t="shared" si="0"/>
        <v>475.57964632645917</v>
      </c>
      <c r="E19" s="240">
        <f t="shared" si="1"/>
        <v>1.3495885260380887</v>
      </c>
      <c r="F19" s="218">
        <f t="shared" si="2"/>
        <v>186.46678250685625</v>
      </c>
      <c r="G19" s="59">
        <f t="shared" si="7"/>
        <v>91</v>
      </c>
      <c r="H19" s="225">
        <v>189</v>
      </c>
      <c r="I19" s="230">
        <f t="shared" si="4"/>
        <v>20.135395256176274</v>
      </c>
      <c r="J19" s="225">
        <v>180</v>
      </c>
      <c r="K19" s="230">
        <f t="shared" si="3"/>
        <v>19.846602777559788</v>
      </c>
      <c r="L19" s="231">
        <v>17.394163397839566</v>
      </c>
    </row>
    <row r="20" spans="1:12">
      <c r="A20">
        <f t="shared" si="5"/>
        <v>7</v>
      </c>
      <c r="B20">
        <f t="shared" si="6"/>
        <v>415</v>
      </c>
      <c r="C20" s="121">
        <f t="shared" si="0"/>
        <v>509.68225395828722</v>
      </c>
      <c r="E20" s="240">
        <f t="shared" si="1"/>
        <v>1.4463640889188869</v>
      </c>
      <c r="F20" s="218">
        <f t="shared" si="2"/>
        <v>173.99037495918211</v>
      </c>
      <c r="G20" s="59">
        <f t="shared" si="7"/>
        <v>90</v>
      </c>
      <c r="H20" s="225">
        <v>188</v>
      </c>
      <c r="I20" s="230">
        <f t="shared" si="4"/>
        <v>20.789608370401563</v>
      </c>
      <c r="J20" s="225">
        <v>170</v>
      </c>
      <c r="K20" s="230">
        <f t="shared" si="3"/>
        <v>22.55437380111135</v>
      </c>
      <c r="L20" s="231">
        <v>17.902112613873346</v>
      </c>
    </row>
    <row r="21" spans="1:12">
      <c r="A21">
        <f t="shared" si="5"/>
        <v>8</v>
      </c>
      <c r="B21">
        <f t="shared" si="6"/>
        <v>405</v>
      </c>
      <c r="C21" s="121">
        <f t="shared" si="0"/>
        <v>540.90294878101747</v>
      </c>
      <c r="E21" s="240">
        <f t="shared" si="1"/>
        <v>1.5349614286771365</v>
      </c>
      <c r="F21" s="218">
        <f t="shared" si="2"/>
        <v>163.94772237070049</v>
      </c>
      <c r="G21" s="59">
        <f t="shared" si="7"/>
        <v>89</v>
      </c>
      <c r="H21" s="225">
        <v>167</v>
      </c>
      <c r="I21" s="230">
        <f t="shared" si="4"/>
        <v>20.185315291554197</v>
      </c>
      <c r="J21" s="225">
        <v>159</v>
      </c>
      <c r="K21" s="230">
        <f t="shared" si="3"/>
        <v>20.044152136953556</v>
      </c>
      <c r="L21" s="231">
        <v>17.698649750196545</v>
      </c>
    </row>
    <row r="22" spans="1:12">
      <c r="A22">
        <f t="shared" si="5"/>
        <v>9</v>
      </c>
      <c r="B22">
        <f t="shared" si="6"/>
        <v>395</v>
      </c>
      <c r="C22" s="121">
        <f t="shared" si="0"/>
        <v>569.71571858252253</v>
      </c>
      <c r="E22" s="240">
        <f t="shared" si="1"/>
        <v>1.6167256165010941</v>
      </c>
      <c r="F22" s="218">
        <f t="shared" si="2"/>
        <v>155.65623974160778</v>
      </c>
      <c r="G22" s="59">
        <f t="shared" si="7"/>
        <v>88</v>
      </c>
      <c r="H22" s="225">
        <v>157</v>
      </c>
      <c r="I22" s="230">
        <f t="shared" si="4"/>
        <v>20.086143195056508</v>
      </c>
      <c r="J22" s="225">
        <v>148</v>
      </c>
      <c r="K22" s="230">
        <f t="shared" si="3"/>
        <v>19.653131437243914</v>
      </c>
      <c r="L22" s="231">
        <v>17.057465631782897</v>
      </c>
    </row>
    <row r="23" spans="1:12">
      <c r="A23">
        <f t="shared" si="5"/>
        <v>10</v>
      </c>
      <c r="B23">
        <f t="shared" si="6"/>
        <v>385</v>
      </c>
      <c r="C23" s="121">
        <f t="shared" si="0"/>
        <v>596.46961364347806</v>
      </c>
      <c r="E23" s="240">
        <f t="shared" si="1"/>
        <v>1.6926471789144431</v>
      </c>
      <c r="F23" s="218">
        <f t="shared" si="2"/>
        <v>148.67447468874616</v>
      </c>
      <c r="G23" s="59">
        <f t="shared" si="7"/>
        <v>87</v>
      </c>
      <c r="H23" s="225">
        <v>149</v>
      </c>
      <c r="I23" s="230">
        <f t="shared" si="4"/>
        <v>20.021883199582607</v>
      </c>
      <c r="J23" s="225">
        <v>141</v>
      </c>
      <c r="K23" s="230">
        <f t="shared" si="3"/>
        <v>19.402836983184315</v>
      </c>
      <c r="L23" s="231">
        <v>17.00682999739012</v>
      </c>
    </row>
    <row r="24" spans="1:12" ht="13.5" thickBot="1">
      <c r="A24">
        <f t="shared" si="5"/>
        <v>11</v>
      </c>
      <c r="B24">
        <f t="shared" si="6"/>
        <v>375</v>
      </c>
      <c r="C24" s="121">
        <f t="shared" si="0"/>
        <v>621.43060755003046</v>
      </c>
      <c r="E24" s="240">
        <f t="shared" si="1"/>
        <v>1.7634808893875475</v>
      </c>
      <c r="F24" s="218">
        <f t="shared" si="2"/>
        <v>142.7026692905595</v>
      </c>
      <c r="G24" s="61">
        <f t="shared" si="7"/>
        <v>86</v>
      </c>
      <c r="H24" s="232">
        <v>144</v>
      </c>
      <c r="I24" s="233">
        <f t="shared" si="4"/>
        <v>20.090705765180253</v>
      </c>
      <c r="J24" s="232">
        <v>135</v>
      </c>
      <c r="K24" s="233">
        <f t="shared" si="3"/>
        <v>19.670994368221969</v>
      </c>
      <c r="L24" s="234">
        <v>16.95214138841645</v>
      </c>
    </row>
    <row r="25" spans="1:12" ht="13.5" thickTop="1">
      <c r="A25">
        <f t="shared" si="5"/>
        <v>12</v>
      </c>
      <c r="B25">
        <f t="shared" si="6"/>
        <v>365</v>
      </c>
      <c r="C25" s="121">
        <f t="shared" si="0"/>
        <v>644.80694785338653</v>
      </c>
      <c r="E25" s="240">
        <f t="shared" si="1"/>
        <v>1.8298177078318649</v>
      </c>
      <c r="F25" s="218">
        <f t="shared" si="2"/>
        <v>137.52923533387099</v>
      </c>
      <c r="G25">
        <f t="shared" si="7"/>
        <v>85</v>
      </c>
      <c r="I25" s="63"/>
      <c r="J25" s="63"/>
    </row>
    <row r="26" spans="1:12">
      <c r="A26">
        <f t="shared" si="5"/>
        <v>13</v>
      </c>
      <c r="B26">
        <f t="shared" si="6"/>
        <v>355</v>
      </c>
      <c r="C26" s="121">
        <f t="shared" si="0"/>
        <v>666.76532603308044</v>
      </c>
      <c r="E26" s="240">
        <f t="shared" si="1"/>
        <v>1.8921306673342937</v>
      </c>
      <c r="F26" s="218">
        <f t="shared" si="2"/>
        <v>133.0000271667453</v>
      </c>
      <c r="G26">
        <f t="shared" si="7"/>
        <v>84</v>
      </c>
      <c r="I26" s="63"/>
      <c r="J26" s="63"/>
    </row>
    <row r="27" spans="1:12">
      <c r="A27">
        <f t="shared" si="5"/>
        <v>14</v>
      </c>
      <c r="B27">
        <f t="shared" si="6"/>
        <v>345</v>
      </c>
      <c r="C27" s="121">
        <f t="shared" si="0"/>
        <v>687.44163388610673</v>
      </c>
      <c r="E27" s="240">
        <f t="shared" si="1"/>
        <v>1.9508053983805436</v>
      </c>
      <c r="F27" s="218">
        <f t="shared" si="2"/>
        <v>128.99976100507126</v>
      </c>
      <c r="G27">
        <f t="shared" si="7"/>
        <v>83</v>
      </c>
      <c r="I27" s="63"/>
      <c r="J27" s="63"/>
    </row>
    <row r="28" spans="1:12">
      <c r="A28">
        <f t="shared" si="5"/>
        <v>15</v>
      </c>
      <c r="B28">
        <f t="shared" si="6"/>
        <v>335</v>
      </c>
      <c r="C28" s="121">
        <f t="shared" si="0"/>
        <v>706.948371523692</v>
      </c>
      <c r="E28" s="240">
        <f t="shared" si="1"/>
        <v>2.0061611510908874</v>
      </c>
      <c r="F28" s="218">
        <f t="shared" si="2"/>
        <v>125.44028679931904</v>
      </c>
      <c r="G28">
        <f t="shared" si="7"/>
        <v>82</v>
      </c>
      <c r="I28" s="63"/>
      <c r="J28" s="63"/>
    </row>
    <row r="29" spans="1:12">
      <c r="A29">
        <f t="shared" si="5"/>
        <v>16</v>
      </c>
      <c r="B29">
        <f t="shared" si="6"/>
        <v>325</v>
      </c>
      <c r="C29" s="121">
        <f t="shared" si="0"/>
        <v>725.37990046595587</v>
      </c>
      <c r="E29" s="240">
        <f t="shared" si="1"/>
        <v>2.0584657023263349</v>
      </c>
      <c r="F29" s="218">
        <f t="shared" si="2"/>
        <v>122.25291384456477</v>
      </c>
      <c r="G29">
        <f t="shared" si="7"/>
        <v>81</v>
      </c>
      <c r="I29" s="63"/>
      <c r="J29" s="63"/>
    </row>
    <row r="30" spans="1:12">
      <c r="A30">
        <f t="shared" si="5"/>
        <v>17</v>
      </c>
      <c r="B30">
        <f t="shared" si="6"/>
        <v>315</v>
      </c>
      <c r="C30" s="121">
        <f t="shared" si="0"/>
        <v>742.81626261142128</v>
      </c>
      <c r="E30" s="240">
        <f t="shared" si="1"/>
        <v>2.1079461930688081</v>
      </c>
      <c r="F30" s="218">
        <f t="shared" si="2"/>
        <v>119.38323235477311</v>
      </c>
      <c r="G30">
        <f t="shared" si="7"/>
        <v>80</v>
      </c>
      <c r="I30" s="63"/>
      <c r="J30" s="63"/>
    </row>
    <row r="31" spans="1:12">
      <c r="A31">
        <f t="shared" si="5"/>
        <v>18</v>
      </c>
      <c r="B31">
        <f t="shared" si="6"/>
        <v>305</v>
      </c>
      <c r="C31" s="121">
        <f t="shared" si="0"/>
        <v>759.32601693870595</v>
      </c>
      <c r="E31" s="240">
        <f t="shared" si="1"/>
        <v>2.1547971783452389</v>
      </c>
      <c r="F31" s="218">
        <f t="shared" si="2"/>
        <v>116.78752538173845</v>
      </c>
      <c r="G31">
        <f t="shared" si="7"/>
        <v>79</v>
      </c>
      <c r="I31" s="63"/>
      <c r="J31" s="63"/>
    </row>
    <row r="32" spans="1:12">
      <c r="A32">
        <f t="shared" si="5"/>
        <v>19</v>
      </c>
      <c r="B32">
        <f t="shared" si="6"/>
        <v>295</v>
      </c>
      <c r="C32" s="121">
        <f t="shared" si="0"/>
        <v>774.96838645198943</v>
      </c>
      <c r="E32" s="240">
        <f t="shared" si="1"/>
        <v>2.1991867197779773</v>
      </c>
      <c r="F32" s="218">
        <f t="shared" si="2"/>
        <v>114.43022454405285</v>
      </c>
      <c r="G32">
        <f t="shared" si="7"/>
        <v>78</v>
      </c>
      <c r="I32" s="63"/>
      <c r="J32" s="63"/>
    </row>
    <row r="33" spans="1:10">
      <c r="A33">
        <f t="shared" si="5"/>
        <v>20</v>
      </c>
      <c r="B33">
        <f t="shared" si="6"/>
        <v>285</v>
      </c>
      <c r="C33" s="121">
        <f t="shared" si="0"/>
        <v>789.79491008742264</v>
      </c>
      <c r="E33" s="240">
        <f t="shared" si="1"/>
        <v>2.2412610733252225</v>
      </c>
      <c r="F33" s="218">
        <f t="shared" si="2"/>
        <v>112.28206885560643</v>
      </c>
      <c r="G33">
        <f t="shared" si="7"/>
        <v>77</v>
      </c>
      <c r="I33" s="63"/>
      <c r="J33" s="63"/>
    </row>
    <row r="34" spans="1:10">
      <c r="A34">
        <f t="shared" si="5"/>
        <v>21</v>
      </c>
      <c r="B34">
        <f t="shared" si="6"/>
        <v>275</v>
      </c>
      <c r="C34" s="121">
        <f t="shared" si="0"/>
        <v>803.85073241242992</v>
      </c>
      <c r="E34" s="240">
        <f t="shared" si="1"/>
        <v>2.2811483491588018</v>
      </c>
      <c r="F34" s="218">
        <f t="shared" si="2"/>
        <v>110.31874812144193</v>
      </c>
      <c r="G34">
        <f t="shared" si="7"/>
        <v>76</v>
      </c>
      <c r="I34" s="63"/>
      <c r="J34" s="63"/>
    </row>
    <row r="35" spans="1:10">
      <c r="A35">
        <f t="shared" si="5"/>
        <v>22</v>
      </c>
      <c r="B35">
        <f t="shared" si="6"/>
        <v>265</v>
      </c>
      <c r="C35" s="121">
        <f t="shared" si="0"/>
        <v>817.17562371867166</v>
      </c>
      <c r="E35" s="240">
        <f t="shared" si="1"/>
        <v>2.3189614064595432</v>
      </c>
      <c r="F35" s="218">
        <f t="shared" si="2"/>
        <v>108.51988716047799</v>
      </c>
      <c r="G35">
        <f t="shared" si="7"/>
        <v>75</v>
      </c>
      <c r="I35" s="63"/>
      <c r="J35" s="63"/>
    </row>
    <row r="36" spans="1:10">
      <c r="A36">
        <f t="shared" si="5"/>
        <v>23</v>
      </c>
      <c r="B36">
        <f t="shared" si="6"/>
        <v>255</v>
      </c>
      <c r="C36" s="121">
        <f t="shared" si="0"/>
        <v>829.80479632260506</v>
      </c>
      <c r="E36" s="240">
        <f t="shared" si="1"/>
        <v>2.3548001698954431</v>
      </c>
      <c r="F36" s="218">
        <f t="shared" si="2"/>
        <v>106.86827416428578</v>
      </c>
      <c r="G36">
        <f t="shared" si="7"/>
        <v>74</v>
      </c>
      <c r="I36" s="63"/>
      <c r="J36" s="63"/>
    </row>
    <row r="37" spans="1:10">
      <c r="A37">
        <f t="shared" si="5"/>
        <v>24</v>
      </c>
      <c r="B37">
        <f t="shared" si="6"/>
        <v>245</v>
      </c>
      <c r="C37" s="121">
        <f t="shared" si="0"/>
        <v>841.7695646671956</v>
      </c>
      <c r="E37" s="240">
        <f t="shared" si="1"/>
        <v>2.3887535028424942</v>
      </c>
      <c r="F37" s="218">
        <f t="shared" si="2"/>
        <v>105.34926682851047</v>
      </c>
      <c r="G37">
        <f t="shared" si="7"/>
        <v>73</v>
      </c>
      <c r="I37" s="63"/>
      <c r="J37" s="63"/>
    </row>
    <row r="38" spans="1:10">
      <c r="A38">
        <f t="shared" si="5"/>
        <v>25</v>
      </c>
      <c r="B38">
        <f t="shared" si="6"/>
        <v>235</v>
      </c>
      <c r="C38" s="121">
        <f t="shared" si="0"/>
        <v>853.09788418445862</v>
      </c>
      <c r="E38" s="240">
        <f t="shared" si="1"/>
        <v>2.4209007365558919</v>
      </c>
      <c r="F38" s="218">
        <f t="shared" si="2"/>
        <v>103.95032987453635</v>
      </c>
      <c r="G38">
        <f t="shared" si="7"/>
        <v>72</v>
      </c>
      <c r="I38" s="63"/>
      <c r="J38" s="63"/>
    </row>
    <row r="39" spans="1:10">
      <c r="A39">
        <f t="shared" si="5"/>
        <v>26</v>
      </c>
      <c r="B39">
        <f t="shared" si="6"/>
        <v>225</v>
      </c>
      <c r="C39" s="121">
        <f t="shared" si="0"/>
        <v>863.81479496475401</v>
      </c>
      <c r="E39" s="240">
        <f t="shared" si="1"/>
        <v>2.4513129292041285</v>
      </c>
      <c r="F39" s="218">
        <f t="shared" si="2"/>
        <v>102.66067100629117</v>
      </c>
      <c r="G39">
        <f t="shared" si="7"/>
        <v>71</v>
      </c>
      <c r="I39" s="63"/>
      <c r="J39" s="63"/>
    </row>
    <row r="40" spans="1:10">
      <c r="A40">
        <f t="shared" si="5"/>
        <v>27</v>
      </c>
      <c r="B40">
        <f t="shared" si="6"/>
        <v>215</v>
      </c>
      <c r="C40" s="121">
        <f t="shared" si="0"/>
        <v>873.94278988959002</v>
      </c>
      <c r="E40" s="240">
        <f t="shared" si="1"/>
        <v>2.4800539105474466</v>
      </c>
      <c r="F40" s="218">
        <f t="shared" si="2"/>
        <v>101.47095153384912</v>
      </c>
      <c r="G40">
        <f t="shared" si="7"/>
        <v>70</v>
      </c>
      <c r="I40" s="63"/>
      <c r="J40" s="63"/>
    </row>
    <row r="41" spans="1:10">
      <c r="A41">
        <f t="shared" si="5"/>
        <v>28</v>
      </c>
      <c r="B41">
        <f t="shared" si="6"/>
        <v>205</v>
      </c>
      <c r="C41" s="121">
        <f t="shared" si="0"/>
        <v>883.50212223853771</v>
      </c>
      <c r="E41" s="240">
        <f t="shared" si="1"/>
        <v>2.5071811548573693</v>
      </c>
      <c r="F41" s="218">
        <f t="shared" si="2"/>
        <v>100.37305428486646</v>
      </c>
      <c r="G41">
        <f t="shared" si="7"/>
        <v>69</v>
      </c>
      <c r="I41" s="63"/>
      <c r="J41" s="63"/>
    </row>
    <row r="42" spans="1:10">
      <c r="A42">
        <f t="shared" si="5"/>
        <v>29</v>
      </c>
      <c r="B42">
        <f t="shared" si="6"/>
        <v>195</v>
      </c>
      <c r="C42" s="121">
        <f t="shared" si="0"/>
        <v>892.51106435718771</v>
      </c>
      <c r="E42" s="240">
        <f t="shared" si="1"/>
        <v>2.532746514958431</v>
      </c>
      <c r="F42" s="218">
        <f t="shared" si="2"/>
        <v>99.359895935982863</v>
      </c>
      <c r="G42">
        <f t="shared" si="7"/>
        <v>68</v>
      </c>
      <c r="I42" s="63"/>
      <c r="J42" s="63"/>
    </row>
    <row r="43" spans="1:10">
      <c r="A43">
        <f t="shared" si="5"/>
        <v>30</v>
      </c>
      <c r="B43">
        <f t="shared" si="6"/>
        <v>185</v>
      </c>
      <c r="C43" s="121">
        <f t="shared" si="0"/>
        <v>900.98612641926957</v>
      </c>
      <c r="E43" s="240">
        <f t="shared" si="1"/>
        <v>2.5567968430260768</v>
      </c>
      <c r="F43" s="218">
        <f t="shared" si="2"/>
        <v>98.42527412567145</v>
      </c>
      <c r="G43">
        <f t="shared" si="7"/>
        <v>67</v>
      </c>
      <c r="I43" s="63"/>
      <c r="J43" s="63"/>
    </row>
    <row r="44" spans="1:10">
      <c r="A44">
        <f t="shared" si="5"/>
        <v>31</v>
      </c>
      <c r="B44">
        <f t="shared" si="6"/>
        <v>175</v>
      </c>
      <c r="C44" s="121">
        <f t="shared" si="0"/>
        <v>908.94224238947106</v>
      </c>
      <c r="E44" s="240">
        <f t="shared" si="1"/>
        <v>2.5793745183074988</v>
      </c>
      <c r="F44" s="218">
        <f t="shared" si="2"/>
        <v>97.563742051549653</v>
      </c>
      <c r="G44">
        <f t="shared" si="7"/>
        <v>66</v>
      </c>
      <c r="I44" s="63"/>
      <c r="J44" s="63"/>
    </row>
    <row r="45" spans="1:10">
      <c r="A45">
        <f t="shared" si="5"/>
        <v>32</v>
      </c>
      <c r="B45">
        <f t="shared" si="6"/>
        <v>165</v>
      </c>
      <c r="C45" s="121">
        <f t="shared" si="0"/>
        <v>916.3929288247482</v>
      </c>
      <c r="E45" s="240">
        <f t="shared" si="1"/>
        <v>2.6005178977641865</v>
      </c>
      <c r="F45" s="218">
        <f t="shared" si="2"/>
        <v>96.770504973203117</v>
      </c>
      <c r="G45">
        <f t="shared" si="7"/>
        <v>65</v>
      </c>
      <c r="I45" s="63"/>
      <c r="J45" s="63"/>
    </row>
    <row r="46" spans="1:10">
      <c r="A46">
        <f t="shared" si="5"/>
        <v>33</v>
      </c>
      <c r="B46">
        <f t="shared" si="6"/>
        <v>155</v>
      </c>
      <c r="C46" s="121">
        <f t="shared" si="0"/>
        <v>923.35042102118518</v>
      </c>
      <c r="E46" s="240">
        <f t="shared" si="1"/>
        <v>2.6202617024262249</v>
      </c>
      <c r="F46" s="218">
        <f t="shared" si="2"/>
        <v>96.041334316139142</v>
      </c>
      <c r="G46">
        <f t="shared" si="7"/>
        <v>64</v>
      </c>
      <c r="I46" s="63"/>
      <c r="J46" s="63"/>
    </row>
    <row r="47" spans="1:10">
      <c r="A47">
        <f t="shared" si="5"/>
        <v>34</v>
      </c>
      <c r="B47">
        <f t="shared" si="6"/>
        <v>145</v>
      </c>
      <c r="C47" s="121">
        <f t="shared" si="0"/>
        <v>929.82579013490476</v>
      </c>
      <c r="E47" s="240">
        <f t="shared" si="1"/>
        <v>2.6386373497552076</v>
      </c>
      <c r="F47" s="218">
        <f t="shared" si="2"/>
        <v>95.372496027860521</v>
      </c>
      <c r="G47">
        <f t="shared" si="7"/>
        <v>63</v>
      </c>
      <c r="I47" s="63"/>
      <c r="J47" s="63"/>
    </row>
    <row r="48" spans="1:10">
      <c r="A48">
        <f t="shared" si="5"/>
        <v>35</v>
      </c>
      <c r="B48">
        <f t="shared" si="6"/>
        <v>135</v>
      </c>
      <c r="C48" s="121">
        <f t="shared" si="0"/>
        <v>935.82904421694457</v>
      </c>
      <c r="E48" s="240">
        <f t="shared" si="1"/>
        <v>2.6556732403585888</v>
      </c>
      <c r="F48" s="218">
        <f t="shared" si="2"/>
        <v>94.760690560150707</v>
      </c>
      <c r="G48">
        <f t="shared" si="7"/>
        <v>62</v>
      </c>
      <c r="I48" s="63"/>
      <c r="J48" s="63"/>
    </row>
    <row r="49" spans="1:10">
      <c r="A49">
        <f t="shared" si="5"/>
        <v>36</v>
      </c>
      <c r="B49">
        <f t="shared" si="6"/>
        <v>125</v>
      </c>
      <c r="C49" s="121">
        <f t="shared" si="0"/>
        <v>941.36921555784897</v>
      </c>
      <c r="E49" s="240">
        <f t="shared" si="1"/>
        <v>2.6713950058540723</v>
      </c>
      <c r="F49" s="218">
        <f t="shared" si="2"/>
        <v>94.203002403995569</v>
      </c>
      <c r="G49">
        <f t="shared" si="7"/>
        <v>61</v>
      </c>
      <c r="I49" s="63"/>
      <c r="J49" s="63"/>
    </row>
    <row r="50" spans="1:10">
      <c r="A50">
        <f t="shared" si="5"/>
        <v>37</v>
      </c>
      <c r="B50">
        <f t="shared" si="6"/>
        <v>115</v>
      </c>
      <c r="C50" s="121">
        <f t="shared" si="0"/>
        <v>946.45443630425234</v>
      </c>
      <c r="E50" s="240">
        <f t="shared" si="1"/>
        <v>2.6858257234525413</v>
      </c>
      <c r="F50" s="218">
        <f t="shared" si="2"/>
        <v>93.696857529162642</v>
      </c>
      <c r="G50">
        <f t="shared" si="7"/>
        <v>60</v>
      </c>
      <c r="I50" s="63"/>
      <c r="J50" s="63"/>
    </row>
    <row r="51" spans="1:10">
      <c r="A51">
        <f t="shared" si="5"/>
        <v>38</v>
      </c>
      <c r="B51">
        <f t="shared" si="6"/>
        <v>105</v>
      </c>
      <c r="C51" s="121">
        <f t="shared" si="0"/>
        <v>951.09200396176186</v>
      </c>
      <c r="E51" s="240">
        <f t="shared" si="1"/>
        <v>2.6989861018405681</v>
      </c>
      <c r="F51" s="218">
        <f t="shared" si="2"/>
        <v>93.239987411153535</v>
      </c>
      <c r="G51">
        <f t="shared" si="7"/>
        <v>59</v>
      </c>
      <c r="I51" s="63"/>
      <c r="J51" s="63"/>
    </row>
    <row r="52" spans="1:10">
      <c r="A52">
        <f t="shared" si="5"/>
        <v>39</v>
      </c>
      <c r="B52">
        <f t="shared" si="6"/>
        <v>95</v>
      </c>
      <c r="C52" s="121">
        <f t="shared" si="0"/>
        <v>955.28843811699096</v>
      </c>
      <c r="E52" s="240">
        <f t="shared" si="1"/>
        <v>2.7108946421448432</v>
      </c>
      <c r="F52" s="218">
        <f t="shared" si="2"/>
        <v>92.830398587304117</v>
      </c>
      <c r="G52">
        <f t="shared" si="7"/>
        <v>58</v>
      </c>
      <c r="I52" s="63"/>
      <c r="J52" s="63"/>
    </row>
    <row r="53" spans="1:10">
      <c r="A53">
        <f t="shared" si="5"/>
        <v>40</v>
      </c>
      <c r="B53">
        <f t="shared" si="6"/>
        <v>85</v>
      </c>
      <c r="C53" s="121">
        <f t="shared" si="0"/>
        <v>959.04952948218477</v>
      </c>
      <c r="E53" s="240">
        <f t="shared" si="1"/>
        <v>2.7215677771098372</v>
      </c>
      <c r="F53" s="218">
        <f t="shared" si="2"/>
        <v>92.466346888386425</v>
      </c>
      <c r="G53">
        <f t="shared" si="7"/>
        <v>57</v>
      </c>
      <c r="I53" s="63"/>
      <c r="J53" s="63"/>
    </row>
    <row r="54" spans="1:10">
      <c r="A54">
        <f t="shared" si="5"/>
        <v>41</v>
      </c>
      <c r="B54">
        <f t="shared" si="6"/>
        <v>75</v>
      </c>
      <c r="C54" s="121">
        <f t="shared" si="0"/>
        <v>962.38038217744236</v>
      </c>
      <c r="E54" s="240">
        <f t="shared" si="1"/>
        <v>2.731019991085279</v>
      </c>
      <c r="F54" s="218">
        <f t="shared" si="2"/>
        <v>92.146315654939031</v>
      </c>
      <c r="G54">
        <f t="shared" si="7"/>
        <v>56</v>
      </c>
      <c r="I54" s="63"/>
      <c r="J54" s="63"/>
    </row>
    <row r="55" spans="1:10">
      <c r="A55">
        <f t="shared" si="5"/>
        <v>42</v>
      </c>
      <c r="B55">
        <f t="shared" si="6"/>
        <v>65</v>
      </c>
      <c r="C55" s="121">
        <f t="shared" si="0"/>
        <v>965.28545000947781</v>
      </c>
      <c r="E55" s="240">
        <f t="shared" si="1"/>
        <v>2.7392639229771545</v>
      </c>
      <c r="F55" s="218">
        <f t="shared" si="2"/>
        <v>91.868997378312045</v>
      </c>
      <c r="G55">
        <f t="shared" si="7"/>
        <v>55</v>
      </c>
      <c r="I55" s="63"/>
      <c r="J55" s="63"/>
    </row>
    <row r="56" spans="1:10">
      <c r="A56">
        <f t="shared" si="5"/>
        <v>43</v>
      </c>
      <c r="B56">
        <f t="shared" si="6"/>
        <v>55</v>
      </c>
      <c r="C56" s="121">
        <f t="shared" si="0"/>
        <v>967.76856737548565</v>
      </c>
      <c r="E56" s="240">
        <f t="shared" si="1"/>
        <v>2.746310453945954</v>
      </c>
      <c r="F56" s="218">
        <f t="shared" si="2"/>
        <v>91.633278312330731</v>
      </c>
      <c r="G56">
        <f t="shared" si="7"/>
        <v>54</v>
      </c>
      <c r="I56" s="63"/>
      <c r="J56" s="63"/>
    </row>
    <row r="57" spans="1:10">
      <c r="A57">
        <f t="shared" si="5"/>
        <v>44</v>
      </c>
      <c r="B57">
        <f t="shared" si="6"/>
        <v>45</v>
      </c>
      <c r="C57" s="121">
        <f t="shared" si="0"/>
        <v>969.83297531069752</v>
      </c>
      <c r="E57" s="240">
        <f t="shared" si="1"/>
        <v>2.7521687813238072</v>
      </c>
      <c r="F57" s="218">
        <f t="shared" si="2"/>
        <v>91.438225688123097</v>
      </c>
      <c r="G57">
        <f t="shared" si="7"/>
        <v>53</v>
      </c>
      <c r="I57" s="63"/>
      <c r="J57" s="63"/>
    </row>
    <row r="58" spans="1:10">
      <c r="A58">
        <f t="shared" si="5"/>
        <v>45</v>
      </c>
      <c r="B58">
        <f t="shared" si="6"/>
        <v>35</v>
      </c>
      <c r="C58" s="121">
        <f t="shared" si="0"/>
        <v>971.48134310443652</v>
      </c>
      <c r="E58" s="240">
        <f t="shared" si="1"/>
        <v>2.7568464799560015</v>
      </c>
      <c r="F58" s="218">
        <f t="shared" si="2"/>
        <v>91.283077236317226</v>
      </c>
      <c r="G58">
        <f t="shared" si="7"/>
        <v>52</v>
      </c>
      <c r="I58" s="63"/>
      <c r="J58" s="63"/>
    </row>
    <row r="59" spans="1:10">
      <c r="A59">
        <f t="shared" si="5"/>
        <v>46</v>
      </c>
      <c r="B59">
        <f t="shared" si="6"/>
        <v>25</v>
      </c>
      <c r="C59" s="121">
        <f t="shared" si="0"/>
        <v>972.71578582852248</v>
      </c>
      <c r="E59" s="240">
        <f t="shared" si="1"/>
        <v>2.7603495519426735</v>
      </c>
      <c r="F59" s="218">
        <f t="shared" si="2"/>
        <v>91.167232780857333</v>
      </c>
      <c r="G59">
        <f t="shared" si="7"/>
        <v>51</v>
      </c>
      <c r="I59" s="63"/>
      <c r="J59" s="63"/>
    </row>
    <row r="60" spans="1:10">
      <c r="A60">
        <f t="shared" si="5"/>
        <v>47</v>
      </c>
      <c r="B60">
        <f t="shared" si="6"/>
        <v>15</v>
      </c>
      <c r="C60" s="121">
        <f t="shared" si="0"/>
        <v>973.5378780509775</v>
      </c>
      <c r="E60" s="240">
        <f t="shared" si="1"/>
        <v>2.7626824655552311</v>
      </c>
      <c r="F60" s="218">
        <f t="shared" si="2"/>
        <v>91.090247719770716</v>
      </c>
      <c r="G60">
        <f t="shared" si="7"/>
        <v>50</v>
      </c>
      <c r="I60" s="63"/>
      <c r="J60" s="63"/>
    </row>
    <row r="61" spans="1:10">
      <c r="A61">
        <f t="shared" si="5"/>
        <v>48</v>
      </c>
      <c r="B61">
        <f t="shared" si="6"/>
        <v>5</v>
      </c>
      <c r="C61" s="121">
        <f t="shared" si="0"/>
        <v>973.94866394487133</v>
      </c>
      <c r="E61" s="240">
        <f t="shared" si="1"/>
        <v>2.7638481839229954</v>
      </c>
      <c r="F61" s="218">
        <f t="shared" si="2"/>
        <v>91.05182825248275</v>
      </c>
      <c r="G61">
        <f t="shared" si="7"/>
        <v>49</v>
      </c>
      <c r="I61" s="63"/>
      <c r="J61" s="63"/>
    </row>
    <row r="62" spans="1:10" ht="28.5">
      <c r="A62" s="137" t="s">
        <v>593</v>
      </c>
      <c r="B62" s="137" t="s">
        <v>591</v>
      </c>
      <c r="C62" s="212" t="s">
        <v>590</v>
      </c>
      <c r="D62" s="211" t="s">
        <v>592</v>
      </c>
      <c r="E62" s="240"/>
      <c r="I62" s="63"/>
      <c r="J62" s="63"/>
    </row>
    <row r="63" spans="1:10">
      <c r="A63">
        <v>1</v>
      </c>
      <c r="B63">
        <v>480</v>
      </c>
      <c r="C63" s="121">
        <f t="shared" ref="C63:C94" si="8">2*SQRT(($B$11/2)^2-B63^2)</f>
        <v>164.54786537661315</v>
      </c>
      <c r="D63" s="210"/>
      <c r="E63" s="240">
        <f t="shared" ref="E63:E94" si="9">(4*9.80665*$K$2*C63)/(PI()*$C$4^2*$D$6*1000000)</f>
        <v>0.33305078524165699</v>
      </c>
      <c r="F63" s="220">
        <f t="shared" ref="F63:F94" si="10">(156.577/C63)*SQRT($K$2/$E$2)</f>
        <v>538.93015429446803</v>
      </c>
      <c r="I63" s="63"/>
      <c r="J63" s="63"/>
    </row>
    <row r="64" spans="1:10">
      <c r="A64">
        <f>A63+1</f>
        <v>2</v>
      </c>
      <c r="B64">
        <f>B63-10</f>
        <v>470</v>
      </c>
      <c r="C64" s="121">
        <f t="shared" si="8"/>
        <v>255.09998039984245</v>
      </c>
      <c r="D64" s="210"/>
      <c r="E64" s="240">
        <f t="shared" si="9"/>
        <v>0.51633151601718796</v>
      </c>
      <c r="F64" s="220">
        <f t="shared" si="10"/>
        <v>347.62764911720961</v>
      </c>
      <c r="I64" s="63"/>
      <c r="J64" s="63"/>
    </row>
    <row r="65" spans="1:10">
      <c r="A65">
        <f t="shared" ref="A65" si="11">A64+1</f>
        <v>3</v>
      </c>
      <c r="B65">
        <f t="shared" ref="B65" si="12">B64-10</f>
        <v>460</v>
      </c>
      <c r="C65" s="121">
        <f t="shared" si="8"/>
        <v>319.80619130967432</v>
      </c>
      <c r="D65" s="210"/>
      <c r="E65" s="240">
        <f t="shared" si="9"/>
        <v>0.64729920924254603</v>
      </c>
      <c r="F65" s="220">
        <f t="shared" si="10"/>
        <v>277.29233794092858</v>
      </c>
      <c r="I65" s="63"/>
      <c r="J65" s="63"/>
    </row>
    <row r="66" spans="1:10">
      <c r="A66">
        <f t="shared" ref="A66:A111" si="13">A65+1</f>
        <v>4</v>
      </c>
      <c r="B66">
        <f t="shared" ref="B66:B111" si="14">B65-10</f>
        <v>450</v>
      </c>
      <c r="C66" s="121">
        <f t="shared" si="8"/>
        <v>372.39226629993271</v>
      </c>
      <c r="E66" s="240">
        <f t="shared" si="9"/>
        <v>0.75373531236790103</v>
      </c>
      <c r="F66" s="220">
        <f t="shared" si="10"/>
        <v>238.13546762761948</v>
      </c>
      <c r="I66" s="63"/>
      <c r="J66" s="63"/>
    </row>
    <row r="67" spans="1:10">
      <c r="A67">
        <f t="shared" si="13"/>
        <v>5</v>
      </c>
      <c r="B67">
        <f t="shared" si="14"/>
        <v>440</v>
      </c>
      <c r="C67" s="121">
        <f t="shared" si="8"/>
        <v>417.46377088317496</v>
      </c>
      <c r="E67" s="240">
        <f t="shared" si="9"/>
        <v>0.8449616552871162</v>
      </c>
      <c r="F67" s="220">
        <f t="shared" si="10"/>
        <v>212.42515557370376</v>
      </c>
      <c r="I67" s="63"/>
      <c r="J67" s="63"/>
    </row>
    <row r="68" spans="1:10">
      <c r="A68">
        <f t="shared" si="13"/>
        <v>6</v>
      </c>
      <c r="B68">
        <f t="shared" si="14"/>
        <v>430</v>
      </c>
      <c r="C68" s="121">
        <f t="shared" si="8"/>
        <v>457.24829141288217</v>
      </c>
      <c r="E68" s="240">
        <f t="shared" si="9"/>
        <v>0.92548695272901804</v>
      </c>
      <c r="F68" s="220">
        <f t="shared" si="10"/>
        <v>193.94234629554501</v>
      </c>
      <c r="I68" s="63"/>
      <c r="J68" s="63"/>
    </row>
    <row r="69" spans="1:10">
      <c r="A69">
        <f t="shared" si="13"/>
        <v>7</v>
      </c>
      <c r="B69">
        <f t="shared" si="14"/>
        <v>420</v>
      </c>
      <c r="C69" s="121">
        <f t="shared" si="8"/>
        <v>493.02738260668644</v>
      </c>
      <c r="E69" s="240">
        <f t="shared" si="9"/>
        <v>0.9979051174378446</v>
      </c>
      <c r="F69" s="220">
        <f t="shared" si="10"/>
        <v>179.86791323310322</v>
      </c>
      <c r="I69" s="63"/>
      <c r="J69" s="63"/>
    </row>
    <row r="70" spans="1:10">
      <c r="A70">
        <f t="shared" si="13"/>
        <v>8</v>
      </c>
      <c r="B70">
        <f t="shared" si="14"/>
        <v>410</v>
      </c>
      <c r="C70" s="121">
        <f t="shared" si="8"/>
        <v>525.61963433646577</v>
      </c>
      <c r="E70" s="240">
        <f t="shared" si="9"/>
        <v>1.0638730046939471</v>
      </c>
      <c r="F70" s="220">
        <f t="shared" si="10"/>
        <v>168.71479047427806</v>
      </c>
      <c r="I70" s="63"/>
      <c r="J70" s="63"/>
    </row>
    <row r="71" spans="1:10">
      <c r="A71">
        <f t="shared" si="13"/>
        <v>9</v>
      </c>
      <c r="B71">
        <f t="shared" si="14"/>
        <v>400</v>
      </c>
      <c r="C71" s="121">
        <f t="shared" si="8"/>
        <v>555.58617693387589</v>
      </c>
      <c r="E71" s="240">
        <f t="shared" si="9"/>
        <v>1.1245263624278936</v>
      </c>
      <c r="F71" s="220">
        <f t="shared" si="10"/>
        <v>159.61485392894838</v>
      </c>
      <c r="I71" s="63"/>
      <c r="J71" s="63"/>
    </row>
    <row r="72" spans="1:10">
      <c r="A72">
        <f t="shared" si="13"/>
        <v>10</v>
      </c>
      <c r="B72">
        <f t="shared" si="14"/>
        <v>390</v>
      </c>
      <c r="C72" s="121">
        <f t="shared" si="8"/>
        <v>583.3318095218192</v>
      </c>
      <c r="E72" s="240">
        <f t="shared" si="9"/>
        <v>1.1806845185929167</v>
      </c>
      <c r="F72" s="220">
        <f t="shared" si="10"/>
        <v>152.02292250946834</v>
      </c>
      <c r="I72" s="63"/>
      <c r="J72" s="63"/>
    </row>
    <row r="73" spans="1:10">
      <c r="A73">
        <f t="shared" si="13"/>
        <v>11</v>
      </c>
      <c r="B73">
        <f t="shared" si="14"/>
        <v>380</v>
      </c>
      <c r="C73" s="121">
        <f t="shared" si="8"/>
        <v>609.16007748374318</v>
      </c>
      <c r="E73" s="240">
        <f t="shared" si="9"/>
        <v>1.2329618599395356</v>
      </c>
      <c r="F73" s="220">
        <f t="shared" si="10"/>
        <v>145.57718037359413</v>
      </c>
      <c r="I73" s="63"/>
      <c r="J73" s="63"/>
    </row>
    <row r="74" spans="1:10">
      <c r="A74">
        <f t="shared" si="13"/>
        <v>12</v>
      </c>
      <c r="B74">
        <f t="shared" si="14"/>
        <v>370</v>
      </c>
      <c r="C74" s="121">
        <f t="shared" si="8"/>
        <v>633.30561342846158</v>
      </c>
      <c r="E74" s="240">
        <f t="shared" si="9"/>
        <v>1.2818332912890917</v>
      </c>
      <c r="F74" s="220">
        <f t="shared" si="10"/>
        <v>140.02687580197926</v>
      </c>
      <c r="I74" s="63"/>
      <c r="J74" s="63"/>
    </row>
    <row r="75" spans="1:10">
      <c r="A75">
        <f t="shared" si="13"/>
        <v>13</v>
      </c>
      <c r="B75">
        <f t="shared" si="14"/>
        <v>360</v>
      </c>
      <c r="C75" s="121">
        <f t="shared" si="8"/>
        <v>655.9542666985252</v>
      </c>
      <c r="E75" s="240">
        <f t="shared" si="9"/>
        <v>1.3276749783811492</v>
      </c>
      <c r="F75" s="220">
        <f t="shared" si="10"/>
        <v>135.19205679166726</v>
      </c>
      <c r="I75" s="63"/>
      <c r="J75" s="63"/>
    </row>
    <row r="76" spans="1:10">
      <c r="A76">
        <f t="shared" si="13"/>
        <v>14</v>
      </c>
      <c r="B76">
        <f t="shared" si="14"/>
        <v>350</v>
      </c>
      <c r="C76" s="121">
        <f t="shared" si="8"/>
        <v>677.25622920723288</v>
      </c>
      <c r="E76" s="240">
        <f t="shared" si="9"/>
        <v>1.370790915038701</v>
      </c>
      <c r="F76" s="220">
        <f t="shared" si="10"/>
        <v>130.93981664819569</v>
      </c>
      <c r="I76" s="63"/>
      <c r="J76" s="63"/>
    </row>
    <row r="77" spans="1:10">
      <c r="A77">
        <f t="shared" si="13"/>
        <v>15</v>
      </c>
      <c r="B77">
        <f t="shared" si="14"/>
        <v>340</v>
      </c>
      <c r="C77" s="121">
        <f t="shared" si="8"/>
        <v>697.33492670308715</v>
      </c>
      <c r="E77" s="240">
        <f t="shared" si="9"/>
        <v>1.4114309194065391</v>
      </c>
      <c r="F77" s="220">
        <f t="shared" si="10"/>
        <v>127.1696039885892</v>
      </c>
      <c r="I77" s="63"/>
      <c r="J77" s="63"/>
    </row>
    <row r="78" spans="1:10">
      <c r="A78">
        <f t="shared" si="13"/>
        <v>16</v>
      </c>
      <c r="B78">
        <f t="shared" si="14"/>
        <v>330</v>
      </c>
      <c r="C78" s="121">
        <f t="shared" si="8"/>
        <v>716.2932360423348</v>
      </c>
      <c r="E78" s="240">
        <f t="shared" si="9"/>
        <v>1.449803217934017</v>
      </c>
      <c r="F78" s="220">
        <f t="shared" si="10"/>
        <v>123.80377478673032</v>
      </c>
      <c r="I78" s="63"/>
      <c r="J78" s="63"/>
    </row>
    <row r="79" spans="1:10">
      <c r="A79">
        <f t="shared" si="13"/>
        <v>17</v>
      </c>
      <c r="B79">
        <f t="shared" si="14"/>
        <v>320</v>
      </c>
      <c r="C79" s="121">
        <f t="shared" si="8"/>
        <v>734.21795129239388</v>
      </c>
      <c r="E79" s="240">
        <f t="shared" si="9"/>
        <v>1.4860834849286793</v>
      </c>
      <c r="F79" s="220">
        <f t="shared" si="10"/>
        <v>120.78131067232344</v>
      </c>
      <c r="I79" s="63"/>
      <c r="J79" s="63"/>
    </row>
    <row r="80" spans="1:10">
      <c r="A80">
        <f t="shared" si="13"/>
        <v>18</v>
      </c>
      <c r="B80">
        <f t="shared" si="14"/>
        <v>310</v>
      </c>
      <c r="C80" s="121">
        <f t="shared" si="8"/>
        <v>751.18306690180395</v>
      </c>
      <c r="E80" s="240">
        <f t="shared" si="9"/>
        <v>1.5204214878100741</v>
      </c>
      <c r="F80" s="220">
        <f t="shared" si="10"/>
        <v>118.05352168279887</v>
      </c>
      <c r="I80" s="63"/>
      <c r="J80" s="63"/>
    </row>
    <row r="81" spans="1:10">
      <c r="A81">
        <f t="shared" si="13"/>
        <v>19</v>
      </c>
      <c r="B81">
        <f t="shared" si="14"/>
        <v>300</v>
      </c>
      <c r="C81" s="121">
        <f t="shared" si="8"/>
        <v>767.25224014009893</v>
      </c>
      <c r="E81" s="240">
        <f t="shared" si="9"/>
        <v>1.5529460711764349</v>
      </c>
      <c r="F81" s="220">
        <f t="shared" si="10"/>
        <v>115.5810329860369</v>
      </c>
      <c r="I81" s="63"/>
      <c r="J81" s="63"/>
    </row>
    <row r="82" spans="1:10">
      <c r="A82">
        <f t="shared" si="13"/>
        <v>20</v>
      </c>
      <c r="B82">
        <f t="shared" si="14"/>
        <v>290</v>
      </c>
      <c r="C82" s="121">
        <f t="shared" si="8"/>
        <v>782.4806706877813</v>
      </c>
      <c r="E82" s="240">
        <f t="shared" si="9"/>
        <v>1.5837689611622476</v>
      </c>
      <c r="F82" s="220">
        <f t="shared" si="10"/>
        <v>113.33162568513814</v>
      </c>
      <c r="I82" s="63"/>
      <c r="J82" s="63"/>
    </row>
    <row r="83" spans="1:10">
      <c r="A83">
        <f t="shared" si="13"/>
        <v>21</v>
      </c>
      <c r="B83">
        <f t="shared" si="14"/>
        <v>280</v>
      </c>
      <c r="C83" s="121">
        <f t="shared" si="8"/>
        <v>796.91655773989282</v>
      </c>
      <c r="E83" s="240">
        <f t="shared" si="9"/>
        <v>1.6129877146681739</v>
      </c>
      <c r="F83" s="220">
        <f t="shared" si="10"/>
        <v>111.27865974794798</v>
      </c>
      <c r="I83" s="63"/>
      <c r="J83" s="63"/>
    </row>
    <row r="84" spans="1:10">
      <c r="A84">
        <f t="shared" si="13"/>
        <v>22</v>
      </c>
      <c r="B84">
        <f t="shared" si="14"/>
        <v>270</v>
      </c>
      <c r="C84" s="121">
        <f t="shared" si="8"/>
        <v>810.60224524732223</v>
      </c>
      <c r="E84" s="240">
        <f t="shared" si="9"/>
        <v>1.6406880373705619</v>
      </c>
      <c r="F84" s="220">
        <f t="shared" si="10"/>
        <v>109.39990235184513</v>
      </c>
      <c r="I84" s="63"/>
      <c r="J84" s="63"/>
    </row>
    <row r="85" spans="1:10">
      <c r="A85">
        <f t="shared" si="13"/>
        <v>23</v>
      </c>
      <c r="B85">
        <f t="shared" si="14"/>
        <v>260</v>
      </c>
      <c r="C85" s="121">
        <f t="shared" si="8"/>
        <v>823.57513318458075</v>
      </c>
      <c r="E85" s="240">
        <f t="shared" si="9"/>
        <v>1.6669456281601298</v>
      </c>
      <c r="F85" s="220">
        <f t="shared" si="10"/>
        <v>107.67664406444437</v>
      </c>
      <c r="I85" s="63"/>
      <c r="J85" s="63"/>
    </row>
    <row r="86" spans="1:10">
      <c r="A86">
        <f t="shared" si="13"/>
        <v>24</v>
      </c>
      <c r="B86">
        <f t="shared" si="14"/>
        <v>250</v>
      </c>
      <c r="C86" s="121">
        <f t="shared" si="8"/>
        <v>835.86841069632487</v>
      </c>
      <c r="E86" s="240">
        <f t="shared" si="9"/>
        <v>1.6918276630568394</v>
      </c>
      <c r="F86" s="220">
        <f t="shared" si="10"/>
        <v>106.09302294648062</v>
      </c>
      <c r="I86" s="63"/>
      <c r="J86" s="63"/>
    </row>
    <row r="87" spans="1:10">
      <c r="A87">
        <f t="shared" si="13"/>
        <v>25</v>
      </c>
      <c r="B87">
        <f t="shared" si="14"/>
        <v>240</v>
      </c>
      <c r="C87" s="121">
        <f t="shared" si="8"/>
        <v>847.51165183730654</v>
      </c>
      <c r="E87" s="240">
        <f t="shared" si="9"/>
        <v>1.7153940010089392</v>
      </c>
      <c r="F87" s="220">
        <f t="shared" si="10"/>
        <v>104.63550121581926</v>
      </c>
      <c r="I87" s="63"/>
      <c r="J87" s="63"/>
    </row>
    <row r="88" spans="1:10">
      <c r="A88">
        <f t="shared" si="13"/>
        <v>26</v>
      </c>
      <c r="B88">
        <f t="shared" si="14"/>
        <v>230</v>
      </c>
      <c r="C88" s="121">
        <f t="shared" si="8"/>
        <v>858.53130403031901</v>
      </c>
      <c r="E88" s="240">
        <f t="shared" si="9"/>
        <v>1.7376981725493768</v>
      </c>
      <c r="F88" s="220">
        <f t="shared" si="10"/>
        <v>103.29245545263397</v>
      </c>
      <c r="I88" s="63"/>
      <c r="J88" s="63"/>
    </row>
    <row r="89" spans="1:10">
      <c r="A89">
        <f t="shared" si="13"/>
        <v>27</v>
      </c>
      <c r="B89">
        <f t="shared" si="14"/>
        <v>220</v>
      </c>
      <c r="C89" s="121">
        <f t="shared" si="8"/>
        <v>868.95109183428735</v>
      </c>
      <c r="E89" s="240">
        <f t="shared" si="9"/>
        <v>1.7587881970369035</v>
      </c>
      <c r="F89" s="220">
        <f t="shared" si="10"/>
        <v>102.0538524084795</v>
      </c>
      <c r="I89" s="63"/>
      <c r="J89" s="63"/>
    </row>
    <row r="90" spans="1:10">
      <c r="A90">
        <f t="shared" si="13"/>
        <v>28</v>
      </c>
      <c r="B90">
        <f t="shared" si="14"/>
        <v>210</v>
      </c>
      <c r="C90" s="121">
        <f t="shared" si="8"/>
        <v>878.79235317565212</v>
      </c>
      <c r="E90" s="240">
        <f t="shared" si="9"/>
        <v>1.7787072632004672</v>
      </c>
      <c r="F90" s="220">
        <f t="shared" si="10"/>
        <v>100.91099012842486</v>
      </c>
      <c r="I90" s="63"/>
      <c r="J90" s="63"/>
    </row>
    <row r="91" spans="1:10">
      <c r="A91">
        <f t="shared" si="13"/>
        <v>29</v>
      </c>
      <c r="B91">
        <f t="shared" si="14"/>
        <v>200</v>
      </c>
      <c r="C91" s="121">
        <f t="shared" si="8"/>
        <v>888.07432121416502</v>
      </c>
      <c r="E91" s="240">
        <f t="shared" si="9"/>
        <v>1.797494299645694</v>
      </c>
      <c r="F91" s="220">
        <f t="shared" si="10"/>
        <v>99.856289454469817</v>
      </c>
      <c r="I91" s="63"/>
      <c r="J91" s="63"/>
    </row>
    <row r="92" spans="1:10">
      <c r="A92">
        <f t="shared" si="13"/>
        <v>30</v>
      </c>
      <c r="B92">
        <f t="shared" si="14"/>
        <v>190</v>
      </c>
      <c r="C92" s="121">
        <f t="shared" si="8"/>
        <v>896.81436206162527</v>
      </c>
      <c r="E92" s="240">
        <f t="shared" si="9"/>
        <v>1.8151844560061452</v>
      </c>
      <c r="F92" s="220">
        <f t="shared" si="10"/>
        <v>98.883124788929024</v>
      </c>
      <c r="I92" s="63"/>
      <c r="J92" s="63"/>
    </row>
    <row r="93" spans="1:10">
      <c r="A93">
        <f t="shared" si="13"/>
        <v>31</v>
      </c>
      <c r="B93">
        <f t="shared" si="14"/>
        <v>180</v>
      </c>
      <c r="C93" s="121">
        <f t="shared" si="8"/>
        <v>905.02817635695737</v>
      </c>
      <c r="E93" s="240">
        <f t="shared" si="9"/>
        <v>1.8318095109385097</v>
      </c>
      <c r="F93" s="220">
        <f t="shared" si="10"/>
        <v>97.985685742083191</v>
      </c>
      <c r="I93" s="63"/>
      <c r="J93" s="63"/>
    </row>
    <row r="94" spans="1:10">
      <c r="A94">
        <f t="shared" si="13"/>
        <v>32</v>
      </c>
      <c r="B94">
        <f t="shared" si="14"/>
        <v>170</v>
      </c>
      <c r="C94" s="121">
        <f t="shared" si="8"/>
        <v>912.72997102100248</v>
      </c>
      <c r="E94" s="240">
        <f t="shared" si="9"/>
        <v>1.8473982197604644</v>
      </c>
      <c r="F94" s="220">
        <f t="shared" si="10"/>
        <v>97.158863291236102</v>
      </c>
      <c r="I94" s="63"/>
      <c r="J94" s="63"/>
    </row>
    <row r="95" spans="1:10">
      <c r="A95">
        <f t="shared" si="13"/>
        <v>33</v>
      </c>
      <c r="B95">
        <f t="shared" si="14"/>
        <v>160</v>
      </c>
      <c r="C95" s="121">
        <f t="shared" ref="C95:C111" si="15">2*SQRT(($B$11/2)^2-B95^2)</f>
        <v>919.93260622721709</v>
      </c>
      <c r="E95" s="240">
        <f t="shared" ref="E95:E111" si="16">(4*9.80665*$K$2*C95)/(PI()*$C$4^2*$D$6*1000000)</f>
        <v>1.8619766119246448</v>
      </c>
      <c r="F95" s="220">
        <f t="shared" ref="F95:F111" si="17">(156.577/C95)*SQRT($K$2/$E$2)</f>
        <v>96.398155556125772</v>
      </c>
      <c r="I95" s="63"/>
      <c r="J95" s="63"/>
    </row>
    <row r="96" spans="1:10">
      <c r="A96">
        <f t="shared" si="13"/>
        <v>34</v>
      </c>
      <c r="B96">
        <f t="shared" si="14"/>
        <v>150</v>
      </c>
      <c r="C96" s="121">
        <f t="shared" si="15"/>
        <v>926.64772162888312</v>
      </c>
      <c r="E96" s="240">
        <f t="shared" si="16"/>
        <v>1.8755682465070465</v>
      </c>
      <c r="F96" s="220">
        <f t="shared" si="17"/>
        <v>95.699589397748724</v>
      </c>
      <c r="I96" s="63"/>
      <c r="J96" s="63"/>
    </row>
    <row r="97" spans="1:10">
      <c r="A97">
        <f t="shared" si="13"/>
        <v>35</v>
      </c>
      <c r="B97">
        <f t="shared" si="14"/>
        <v>140</v>
      </c>
      <c r="C97" s="121">
        <f t="shared" si="15"/>
        <v>932.88584510646319</v>
      </c>
      <c r="E97" s="240">
        <f t="shared" si="16"/>
        <v>1.8881944323155788</v>
      </c>
      <c r="F97" s="220">
        <f t="shared" si="17"/>
        <v>95.059654877841055</v>
      </c>
      <c r="I97" s="63"/>
      <c r="J97" s="63"/>
    </row>
    <row r="98" spans="1:10">
      <c r="A98">
        <f t="shared" si="13"/>
        <v>36</v>
      </c>
      <c r="B98">
        <f t="shared" si="14"/>
        <v>130</v>
      </c>
      <c r="C98" s="121">
        <f t="shared" si="15"/>
        <v>938.65648668722258</v>
      </c>
      <c r="E98" s="240">
        <f t="shared" si="16"/>
        <v>1.8998744179867464</v>
      </c>
      <c r="F98" s="220">
        <f t="shared" si="17"/>
        <v>94.475250247530852</v>
      </c>
      <c r="I98" s="63"/>
      <c r="J98" s="63"/>
    </row>
    <row r="99" spans="1:10">
      <c r="A99">
        <f t="shared" si="13"/>
        <v>37</v>
      </c>
      <c r="B99">
        <f t="shared" si="14"/>
        <v>120</v>
      </c>
      <c r="C99" s="121">
        <f t="shared" si="15"/>
        <v>943.96821980403558</v>
      </c>
      <c r="E99" s="240">
        <f t="shared" si="16"/>
        <v>1.9106255564563928</v>
      </c>
      <c r="F99" s="220">
        <f t="shared" si="17"/>
        <v>93.943635618001082</v>
      </c>
      <c r="I99" s="63"/>
      <c r="J99" s="63"/>
    </row>
    <row r="100" spans="1:10">
      <c r="A100">
        <f t="shared" si="13"/>
        <v>38</v>
      </c>
      <c r="B100">
        <f t="shared" si="14"/>
        <v>110</v>
      </c>
      <c r="C100" s="121">
        <f t="shared" si="15"/>
        <v>948.82875167229201</v>
      </c>
      <c r="E100" s="240">
        <f t="shared" si="16"/>
        <v>1.9204634474050832</v>
      </c>
      <c r="F100" s="220">
        <f t="shared" si="17"/>
        <v>93.462393840771639</v>
      </c>
      <c r="I100" s="63"/>
      <c r="J100" s="63"/>
    </row>
    <row r="101" spans="1:10">
      <c r="A101">
        <f t="shared" si="13"/>
        <v>39</v>
      </c>
      <c r="B101">
        <f t="shared" si="14"/>
        <v>100</v>
      </c>
      <c r="C101" s="121">
        <f t="shared" si="15"/>
        <v>953.24498425116303</v>
      </c>
      <c r="E101" s="240">
        <f t="shared" si="16"/>
        <v>1.9294020606458955</v>
      </c>
      <c r="F101" s="220">
        <f t="shared" si="17"/>
        <v>93.029397417608578</v>
      </c>
      <c r="I101" s="63"/>
      <c r="J101" s="63"/>
    </row>
    <row r="102" spans="1:10">
      <c r="A102">
        <f t="shared" si="13"/>
        <v>40</v>
      </c>
      <c r="B102">
        <f t="shared" si="14"/>
        <v>90</v>
      </c>
      <c r="C102" s="121">
        <f t="shared" si="15"/>
        <v>957.2230670016263</v>
      </c>
      <c r="E102" s="240">
        <f t="shared" si="16"/>
        <v>1.9374538429085562</v>
      </c>
      <c r="F102" s="220">
        <f t="shared" si="17"/>
        <v>92.642780490049361</v>
      </c>
      <c r="I102" s="63"/>
      <c r="J102" s="63"/>
    </row>
    <row r="103" spans="1:10">
      <c r="A103">
        <f t="shared" si="13"/>
        <v>41</v>
      </c>
      <c r="B103">
        <f t="shared" si="14"/>
        <v>80</v>
      </c>
      <c r="C103" s="121">
        <f t="shared" si="15"/>
        <v>960.76844244594133</v>
      </c>
      <c r="E103" s="240">
        <f t="shared" si="16"/>
        <v>1.9446298100534536</v>
      </c>
      <c r="F103" s="220">
        <f t="shared" si="17"/>
        <v>92.300915140885408</v>
      </c>
      <c r="I103" s="63"/>
      <c r="J103" s="63"/>
    </row>
    <row r="104" spans="1:10">
      <c r="A104">
        <f t="shared" si="13"/>
        <v>42</v>
      </c>
      <c r="B104">
        <f t="shared" si="14"/>
        <v>70</v>
      </c>
      <c r="C104" s="121">
        <f t="shared" si="15"/>
        <v>963.88588536195505</v>
      </c>
      <c r="E104" s="240">
        <f t="shared" si="16"/>
        <v>1.95093962640232</v>
      </c>
      <c r="F104" s="220">
        <f t="shared" si="17"/>
        <v>92.002391385721708</v>
      </c>
      <c r="I104" s="63"/>
      <c r="J104" s="63"/>
    </row>
    <row r="105" spans="1:10">
      <c r="A105">
        <f t="shared" si="13"/>
        <v>43</v>
      </c>
      <c r="B105">
        <f t="shared" si="14"/>
        <v>60</v>
      </c>
      <c r="C105" s="121">
        <f t="shared" si="15"/>
        <v>966.57953630314353</v>
      </c>
      <c r="E105" s="240">
        <f t="shared" si="16"/>
        <v>1.9563916725839974</v>
      </c>
      <c r="F105" s="220">
        <f t="shared" si="17"/>
        <v>91.746000350281847</v>
      </c>
      <c r="I105" s="63"/>
      <c r="J105" s="63"/>
    </row>
    <row r="106" spans="1:10">
      <c r="A106">
        <f t="shared" si="13"/>
        <v>44</v>
      </c>
      <c r="B106">
        <f t="shared" si="14"/>
        <v>50</v>
      </c>
      <c r="C106" s="121">
        <f t="shared" si="15"/>
        <v>968.85293001569642</v>
      </c>
      <c r="E106" s="240">
        <f t="shared" si="16"/>
        <v>1.9609931030516383</v>
      </c>
      <c r="F106" s="220">
        <f t="shared" si="17"/>
        <v>91.530720224798998</v>
      </c>
      <c r="I106" s="63"/>
      <c r="J106" s="63"/>
    </row>
    <row r="107" spans="1:10">
      <c r="A107">
        <f t="shared" si="13"/>
        <v>45</v>
      </c>
      <c r="B107">
        <f t="shared" si="14"/>
        <v>40</v>
      </c>
      <c r="C107" s="121">
        <f t="shared" si="15"/>
        <v>970.70901922254745</v>
      </c>
      <c r="E107" s="240">
        <f t="shared" si="16"/>
        <v>1.9647498942224346</v>
      </c>
      <c r="F107" s="220">
        <f t="shared" si="17"/>
        <v>91.35570466551161</v>
      </c>
      <c r="I107" s="63"/>
      <c r="J107" s="63"/>
    </row>
    <row r="108" spans="1:10">
      <c r="A108">
        <f t="shared" si="13"/>
        <v>46</v>
      </c>
      <c r="B108">
        <f t="shared" si="14"/>
        <v>30</v>
      </c>
      <c r="C108" s="121">
        <f t="shared" si="15"/>
        <v>972.1501941572609</v>
      </c>
      <c r="E108" s="240">
        <f t="shared" si="16"/>
        <v>1.9676668840149083</v>
      </c>
      <c r="F108" s="220">
        <f t="shared" si="17"/>
        <v>91.220273378763622</v>
      </c>
      <c r="I108" s="63"/>
      <c r="J108" s="63"/>
    </row>
    <row r="109" spans="1:10">
      <c r="A109">
        <f t="shared" si="13"/>
        <v>47</v>
      </c>
      <c r="B109">
        <f t="shared" si="14"/>
        <v>20</v>
      </c>
      <c r="C109" s="121">
        <f t="shared" si="15"/>
        <v>973.17829815507082</v>
      </c>
      <c r="E109" s="240">
        <f t="shared" si="16"/>
        <v>1.9697478034057312</v>
      </c>
      <c r="F109" s="220">
        <f t="shared" si="17"/>
        <v>91.123904678475284</v>
      </c>
      <c r="I109" s="63"/>
      <c r="J109" s="63"/>
    </row>
    <row r="110" spans="1:10">
      <c r="A110">
        <f t="shared" si="13"/>
        <v>48</v>
      </c>
      <c r="B110">
        <f t="shared" si="14"/>
        <v>10</v>
      </c>
      <c r="C110" s="121">
        <f t="shared" si="15"/>
        <v>973.79463954162327</v>
      </c>
      <c r="E110" s="240">
        <f t="shared" si="16"/>
        <v>1.970995300492967</v>
      </c>
      <c r="F110" s="220">
        <f t="shared" si="17"/>
        <v>91.066229855183963</v>
      </c>
      <c r="I110" s="63"/>
      <c r="J110" s="63"/>
    </row>
    <row r="111" spans="1:10">
      <c r="A111">
        <f t="shared" si="13"/>
        <v>49</v>
      </c>
      <c r="B111">
        <f t="shared" si="14"/>
        <v>0</v>
      </c>
      <c r="C111" s="121">
        <f t="shared" si="15"/>
        <v>974</v>
      </c>
      <c r="E111" s="240">
        <f t="shared" si="16"/>
        <v>1.9714109574312288</v>
      </c>
      <c r="F111" s="220">
        <f t="shared" si="17"/>
        <v>91.047029236389605</v>
      </c>
      <c r="I111" s="63"/>
      <c r="J111" s="63"/>
    </row>
    <row r="112" spans="1:10">
      <c r="C112" s="121"/>
    </row>
    <row r="113" spans="3:3">
      <c r="C113" s="121"/>
    </row>
    <row r="114" spans="3:3">
      <c r="C114" s="121"/>
    </row>
    <row r="115" spans="3:3">
      <c r="C115" s="121"/>
    </row>
    <row r="116" spans="3:3">
      <c r="C116" s="121"/>
    </row>
    <row r="117" spans="3:3">
      <c r="C117" s="121"/>
    </row>
    <row r="118" spans="3:3">
      <c r="C118" s="121"/>
    </row>
    <row r="119" spans="3:3">
      <c r="C119" s="121"/>
    </row>
    <row r="120" spans="3:3">
      <c r="C120" s="121"/>
    </row>
    <row r="121" spans="3:3">
      <c r="C121" s="121"/>
    </row>
    <row r="122" spans="3:3">
      <c r="C122" s="121"/>
    </row>
    <row r="123" spans="3:3">
      <c r="C123" s="121"/>
    </row>
    <row r="124" spans="3:3">
      <c r="C124" s="121"/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2:J44"/>
  <sheetViews>
    <sheetView showGridLines="0" topLeftCell="H1" workbookViewId="0">
      <selection activeCell="AB13" sqref="AB13"/>
    </sheetView>
  </sheetViews>
  <sheetFormatPr defaultRowHeight="12.75"/>
  <cols>
    <col min="1" max="1" width="34.28515625" customWidth="1"/>
    <col min="2" max="2" width="18.140625" customWidth="1"/>
    <col min="3" max="3" width="12.85546875" customWidth="1"/>
    <col min="4" max="4" width="12.140625" customWidth="1"/>
    <col min="5" max="6" width="9.42578125" bestFit="1" customWidth="1"/>
    <col min="7" max="7" width="13.7109375" customWidth="1"/>
    <col min="8" max="8" width="13.42578125" customWidth="1"/>
    <col min="9" max="9" width="12" customWidth="1"/>
  </cols>
  <sheetData>
    <row r="2" spans="1:10">
      <c r="H2" s="113"/>
    </row>
    <row r="3" spans="1:10">
      <c r="A3" s="118" t="s">
        <v>637</v>
      </c>
      <c r="B3">
        <v>20</v>
      </c>
      <c r="G3" s="113"/>
    </row>
    <row r="4" spans="1:10" ht="25.5">
      <c r="A4" s="241" t="s">
        <v>639</v>
      </c>
      <c r="B4">
        <f>(34.41+59.86+71.99+77.35)*(2/1000)</f>
        <v>0.48721999999999999</v>
      </c>
    </row>
    <row r="5" spans="1:10" ht="25.5">
      <c r="A5" s="118" t="s">
        <v>640</v>
      </c>
      <c r="B5">
        <f>(33.16+51.96+59.16)*(2/1000)</f>
        <v>0.28855999999999998</v>
      </c>
    </row>
    <row r="6" spans="1:10">
      <c r="A6" s="118" t="s">
        <v>641</v>
      </c>
      <c r="B6">
        <v>7.7640000000000002</v>
      </c>
    </row>
    <row r="7" spans="1:10">
      <c r="A7" s="118" t="s">
        <v>647</v>
      </c>
      <c r="B7">
        <v>63.545999999999999</v>
      </c>
    </row>
    <row r="8" spans="1:10">
      <c r="A8" s="118" t="s">
        <v>668</v>
      </c>
      <c r="B8" s="47">
        <v>96485</v>
      </c>
    </row>
    <row r="9" spans="1:10">
      <c r="A9" s="118" t="s">
        <v>648</v>
      </c>
      <c r="B9">
        <v>2</v>
      </c>
    </row>
    <row r="10" spans="1:10" ht="27">
      <c r="A10" s="118" t="s">
        <v>650</v>
      </c>
      <c r="B10">
        <f>B4*PI()*($B$3/1000000)</f>
        <v>3.0612935453640383E-5</v>
      </c>
    </row>
    <row r="11" spans="1:10" ht="27">
      <c r="A11" s="118" t="s">
        <v>651</v>
      </c>
      <c r="B11">
        <f>B5*PI()*($B$3/1000000)</f>
        <v>1.8130759522397413E-5</v>
      </c>
    </row>
    <row r="12" spans="1:10">
      <c r="A12" s="113" t="s">
        <v>652</v>
      </c>
      <c r="B12">
        <v>5</v>
      </c>
    </row>
    <row r="13" spans="1:10" ht="20.25" customHeight="1">
      <c r="A13" s="113" t="s">
        <v>663</v>
      </c>
      <c r="B13">
        <v>600</v>
      </c>
      <c r="G13" s="241"/>
      <c r="H13" s="241"/>
      <c r="I13" s="241"/>
      <c r="J13" s="241"/>
    </row>
    <row r="14" spans="1:10" ht="15.75">
      <c r="A14" s="244" t="s">
        <v>654</v>
      </c>
      <c r="B14" s="245">
        <f>B10*B13</f>
        <v>1.836776127218423E-2</v>
      </c>
      <c r="C14" s="113" t="s">
        <v>667</v>
      </c>
    </row>
    <row r="15" spans="1:10" ht="16.5" thickBot="1">
      <c r="A15" s="244" t="s">
        <v>655</v>
      </c>
      <c r="B15" s="245">
        <f>B11*B13</f>
        <v>1.0878455713438448E-2</v>
      </c>
      <c r="C15" s="113"/>
    </row>
    <row r="16" spans="1:10" ht="16.5" thickTop="1">
      <c r="A16" s="251" t="s">
        <v>664</v>
      </c>
      <c r="B16" s="252"/>
    </row>
    <row r="17" spans="1:8" ht="31.5">
      <c r="A17" s="248" t="s">
        <v>665</v>
      </c>
      <c r="B17" s="247">
        <v>400</v>
      </c>
    </row>
    <row r="18" spans="1:8" ht="32.25" thickBot="1">
      <c r="A18" s="249" t="s">
        <v>666</v>
      </c>
      <c r="B18" s="250">
        <v>126</v>
      </c>
    </row>
    <row r="19" spans="1:8" ht="13.5" thickTop="1"/>
    <row r="20" spans="1:8" ht="47.25">
      <c r="A20" s="243" t="s">
        <v>671</v>
      </c>
      <c r="B20" s="253" t="s">
        <v>673</v>
      </c>
    </row>
    <row r="21" spans="1:8" ht="31.5">
      <c r="A21" s="243" t="s">
        <v>672</v>
      </c>
      <c r="B21" s="73" t="s">
        <v>674</v>
      </c>
    </row>
    <row r="22" spans="1:8">
      <c r="A22" s="113" t="s">
        <v>675</v>
      </c>
    </row>
    <row r="23" spans="1:8" ht="13.5" thickBot="1"/>
    <row r="24" spans="1:8" ht="16.5" thickTop="1">
      <c r="A24" s="251" t="s">
        <v>649</v>
      </c>
      <c r="B24" s="252"/>
    </row>
    <row r="25" spans="1:8" ht="15.75">
      <c r="A25" s="246" t="s">
        <v>652</v>
      </c>
      <c r="B25" s="247" t="s">
        <v>653</v>
      </c>
      <c r="C25" s="242"/>
    </row>
    <row r="26" spans="1:8" ht="18.75">
      <c r="A26" s="246" t="s">
        <v>660</v>
      </c>
      <c r="B26" s="247" t="s">
        <v>659</v>
      </c>
      <c r="C26" s="113"/>
    </row>
    <row r="27" spans="1:8" ht="15.75">
      <c r="A27" s="246" t="s">
        <v>658</v>
      </c>
      <c r="B27" s="247"/>
      <c r="C27" s="113"/>
    </row>
    <row r="28" spans="1:8" ht="34.5">
      <c r="A28" s="248" t="s">
        <v>661</v>
      </c>
      <c r="B28" s="247" t="s">
        <v>656</v>
      </c>
    </row>
    <row r="29" spans="1:8" ht="35.25" thickBot="1">
      <c r="A29" s="249" t="s">
        <v>662</v>
      </c>
      <c r="B29" s="250" t="s">
        <v>657</v>
      </c>
    </row>
    <row r="30" spans="1:8" ht="13.5" thickTop="1"/>
    <row r="31" spans="1:8">
      <c r="B31" s="113" t="s">
        <v>642</v>
      </c>
    </row>
    <row r="32" spans="1:8" ht="39.75">
      <c r="A32" s="118" t="s">
        <v>636</v>
      </c>
      <c r="B32" s="118" t="s">
        <v>638</v>
      </c>
      <c r="C32" s="118" t="s">
        <v>643</v>
      </c>
      <c r="D32" s="118" t="s">
        <v>644</v>
      </c>
      <c r="E32" s="118" t="s">
        <v>645</v>
      </c>
      <c r="F32" s="118" t="s">
        <v>646</v>
      </c>
      <c r="G32" s="241" t="s">
        <v>669</v>
      </c>
      <c r="H32" s="241" t="s">
        <v>670</v>
      </c>
    </row>
    <row r="33" spans="1:8">
      <c r="A33">
        <v>30</v>
      </c>
      <c r="B33" s="47">
        <f t="shared" ref="B33:B44" si="0">(PI()/4)*(A33^2-$B$3^2)*0.000000000001</f>
        <v>3.9269908169872409E-10</v>
      </c>
      <c r="C33" s="47">
        <f t="shared" ref="C33:C44" si="1">B33*$B$4</f>
        <v>1.9133084658525234E-10</v>
      </c>
      <c r="D33" s="47">
        <f t="shared" ref="D33:D44" si="2">B33*$B$5</f>
        <v>1.1331724701498382E-10</v>
      </c>
      <c r="E33" s="47">
        <f t="shared" ref="E33:E44" si="3">($B$6*1000000)*C33</f>
        <v>1.4854926928878991E-3</v>
      </c>
      <c r="F33" s="47">
        <f t="shared" ref="F33:F44" si="4">($B$6*1000000)*D33</f>
        <v>8.7979510582433438E-4</v>
      </c>
      <c r="G33" s="217">
        <f t="shared" ref="G33:G44" si="5">($B$8*E33*$B$9)/($B$14*$B$7)</f>
        <v>245.59293661284732</v>
      </c>
      <c r="H33" s="217">
        <f t="shared" ref="H33:H44" si="6">($B$8*F33*$B$9)/($B$14*$B$7)</f>
        <v>145.45441030541281</v>
      </c>
    </row>
    <row r="34" spans="1:8">
      <c r="A34">
        <f t="shared" ref="A34:A44" si="7">A33+5</f>
        <v>35</v>
      </c>
      <c r="B34" s="47">
        <f t="shared" si="0"/>
        <v>6.4795348480289489E-10</v>
      </c>
      <c r="C34" s="47">
        <f t="shared" si="1"/>
        <v>3.1569589686566645E-10</v>
      </c>
      <c r="D34" s="47">
        <f t="shared" si="2"/>
        <v>1.8697345757472333E-10</v>
      </c>
      <c r="E34" s="47">
        <f t="shared" si="3"/>
        <v>2.4510629432650342E-3</v>
      </c>
      <c r="F34" s="47">
        <f t="shared" si="4"/>
        <v>1.451661924610152E-3</v>
      </c>
      <c r="G34" s="217">
        <f t="shared" si="5"/>
        <v>405.22834541119818</v>
      </c>
      <c r="H34" s="217">
        <f t="shared" si="6"/>
        <v>239.99977700393117</v>
      </c>
    </row>
    <row r="35" spans="1:8">
      <c r="A35">
        <f t="shared" si="7"/>
        <v>40</v>
      </c>
      <c r="B35" s="47">
        <f t="shared" si="0"/>
        <v>9.4247779607693791E-10</v>
      </c>
      <c r="C35" s="47">
        <f t="shared" si="1"/>
        <v>4.5919403180460566E-10</v>
      </c>
      <c r="D35" s="47">
        <f t="shared" si="2"/>
        <v>2.7196139283596117E-10</v>
      </c>
      <c r="E35" s="47">
        <f t="shared" si="3"/>
        <v>3.5651824629309584E-3</v>
      </c>
      <c r="F35" s="47">
        <f t="shared" si="4"/>
        <v>2.1115082539784023E-3</v>
      </c>
      <c r="G35" s="217">
        <f t="shared" si="5"/>
        <v>589.42304787083367</v>
      </c>
      <c r="H35" s="217">
        <f t="shared" si="6"/>
        <v>349.09058473299069</v>
      </c>
    </row>
    <row r="36" spans="1:8">
      <c r="A36">
        <f t="shared" si="7"/>
        <v>45</v>
      </c>
      <c r="B36" s="47">
        <f t="shared" si="0"/>
        <v>1.2762720155208535E-9</v>
      </c>
      <c r="C36" s="47">
        <f t="shared" si="1"/>
        <v>6.2182525140207026E-10</v>
      </c>
      <c r="D36" s="47">
        <f t="shared" si="2"/>
        <v>3.6828105279869743E-10</v>
      </c>
      <c r="E36" s="47">
        <f t="shared" si="3"/>
        <v>4.8278512518856731E-3</v>
      </c>
      <c r="F36" s="47">
        <f t="shared" si="4"/>
        <v>2.859334093929087E-3</v>
      </c>
      <c r="G36" s="217">
        <f t="shared" si="5"/>
        <v>798.17704399175398</v>
      </c>
      <c r="H36" s="217">
        <f t="shared" si="6"/>
        <v>472.72683349259171</v>
      </c>
    </row>
    <row r="37" spans="1:8">
      <c r="A37">
        <f t="shared" si="7"/>
        <v>50</v>
      </c>
      <c r="B37" s="47">
        <f t="shared" si="0"/>
        <v>1.6493361431346412E-9</v>
      </c>
      <c r="C37" s="47">
        <f t="shared" si="1"/>
        <v>8.0358955565805991E-10</v>
      </c>
      <c r="D37" s="47">
        <f t="shared" si="2"/>
        <v>4.7593243746293205E-10</v>
      </c>
      <c r="E37" s="47">
        <f t="shared" si="3"/>
        <v>6.2390693101291774E-3</v>
      </c>
      <c r="F37" s="47">
        <f t="shared" si="4"/>
        <v>3.6951394444622045E-3</v>
      </c>
      <c r="G37" s="217">
        <f t="shared" si="5"/>
        <v>1031.490333773959</v>
      </c>
      <c r="H37" s="217">
        <f t="shared" si="6"/>
        <v>610.90852328273377</v>
      </c>
    </row>
    <row r="38" spans="1:8">
      <c r="A38">
        <f t="shared" si="7"/>
        <v>55</v>
      </c>
      <c r="B38" s="47">
        <f t="shared" si="0"/>
        <v>2.0616701789183017E-9</v>
      </c>
      <c r="C38" s="47">
        <f t="shared" si="1"/>
        <v>1.0044869445725749E-9</v>
      </c>
      <c r="D38" s="47">
        <f t="shared" si="2"/>
        <v>5.9491554682866509E-10</v>
      </c>
      <c r="E38" s="47">
        <f t="shared" si="3"/>
        <v>7.7988366376614722E-3</v>
      </c>
      <c r="F38" s="47">
        <f t="shared" si="4"/>
        <v>4.6189243055777558E-3</v>
      </c>
      <c r="G38" s="217">
        <f t="shared" si="5"/>
        <v>1289.3629172174487</v>
      </c>
      <c r="H38" s="217">
        <f t="shared" si="6"/>
        <v>763.63565410341732</v>
      </c>
    </row>
    <row r="39" spans="1:8">
      <c r="A39">
        <f t="shared" si="7"/>
        <v>60</v>
      </c>
      <c r="B39" s="47">
        <f t="shared" si="0"/>
        <v>2.5132741228718347E-9</v>
      </c>
      <c r="C39" s="47">
        <f t="shared" si="1"/>
        <v>1.2245174181456152E-9</v>
      </c>
      <c r="D39" s="47">
        <f t="shared" si="2"/>
        <v>7.252303808958966E-10</v>
      </c>
      <c r="E39" s="47">
        <f t="shared" si="3"/>
        <v>9.5071532344825575E-3</v>
      </c>
      <c r="F39" s="47">
        <f t="shared" si="4"/>
        <v>5.6306886772757416E-3</v>
      </c>
      <c r="G39" s="217">
        <f t="shared" si="5"/>
        <v>1571.7947943222234</v>
      </c>
      <c r="H39" s="217">
        <f t="shared" si="6"/>
        <v>930.90822595464226</v>
      </c>
    </row>
    <row r="40" spans="1:8">
      <c r="A40">
        <f t="shared" si="7"/>
        <v>65</v>
      </c>
      <c r="B40" s="47">
        <f t="shared" si="0"/>
        <v>3.0041479749952396E-9</v>
      </c>
      <c r="C40" s="47">
        <f t="shared" si="1"/>
        <v>1.4636809763771806E-9</v>
      </c>
      <c r="D40" s="47">
        <f t="shared" si="2"/>
        <v>8.6687693966462626E-10</v>
      </c>
      <c r="E40" s="47">
        <f t="shared" si="3"/>
        <v>1.136401910059243E-2</v>
      </c>
      <c r="F40" s="47">
        <f t="shared" si="4"/>
        <v>6.7304325595561581E-3</v>
      </c>
      <c r="G40" s="217">
        <f t="shared" si="5"/>
        <v>1878.7859650882824</v>
      </c>
      <c r="H40" s="217">
        <f t="shared" si="6"/>
        <v>1112.7262388364081</v>
      </c>
    </row>
    <row r="41" spans="1:8">
      <c r="A41">
        <f t="shared" si="7"/>
        <v>70</v>
      </c>
      <c r="B41" s="47">
        <f t="shared" si="0"/>
        <v>3.5342917352885175E-9</v>
      </c>
      <c r="C41" s="47">
        <f t="shared" si="1"/>
        <v>1.7219776192672714E-9</v>
      </c>
      <c r="D41" s="47">
        <f t="shared" si="2"/>
        <v>1.0198552231348545E-9</v>
      </c>
      <c r="E41" s="47">
        <f t="shared" si="3"/>
        <v>1.3369434235991096E-2</v>
      </c>
      <c r="F41" s="47">
        <f t="shared" si="4"/>
        <v>7.9181559524190096E-3</v>
      </c>
      <c r="G41" s="217">
        <f t="shared" si="5"/>
        <v>2210.3364295156266</v>
      </c>
      <c r="H41" s="217">
        <f t="shared" si="6"/>
        <v>1309.0896927487152</v>
      </c>
    </row>
    <row r="42" spans="1:8">
      <c r="A42">
        <f t="shared" si="7"/>
        <v>75</v>
      </c>
      <c r="B42" s="47">
        <f t="shared" si="0"/>
        <v>4.1037054037516672E-9</v>
      </c>
      <c r="C42" s="47">
        <f t="shared" si="1"/>
        <v>1.9994073468158871E-9</v>
      </c>
      <c r="D42" s="47">
        <f t="shared" si="2"/>
        <v>1.1841652313065811E-9</v>
      </c>
      <c r="E42" s="47">
        <f t="shared" si="3"/>
        <v>1.5523398640678547E-2</v>
      </c>
      <c r="F42" s="47">
        <f t="shared" si="4"/>
        <v>9.1938588558642953E-3</v>
      </c>
      <c r="G42" s="217">
        <f t="shared" si="5"/>
        <v>2566.4461876042546</v>
      </c>
      <c r="H42" s="217">
        <f t="shared" si="6"/>
        <v>1519.9985876915639</v>
      </c>
    </row>
    <row r="43" spans="1:8">
      <c r="A43">
        <f t="shared" si="7"/>
        <v>80</v>
      </c>
      <c r="B43" s="47">
        <f t="shared" si="0"/>
        <v>4.7123889803846891E-9</v>
      </c>
      <c r="C43" s="47">
        <f t="shared" si="1"/>
        <v>2.2959701590230283E-9</v>
      </c>
      <c r="D43" s="47">
        <f t="shared" si="2"/>
        <v>1.3598069641798059E-9</v>
      </c>
      <c r="E43" s="47">
        <f t="shared" si="3"/>
        <v>1.7825912314654791E-2</v>
      </c>
      <c r="F43" s="47">
        <f t="shared" si="4"/>
        <v>1.0557541269892013E-2</v>
      </c>
      <c r="G43" s="217">
        <f t="shared" si="5"/>
        <v>2947.1152393541684</v>
      </c>
      <c r="H43" s="217">
        <f t="shared" si="6"/>
        <v>1745.4529236649539</v>
      </c>
    </row>
    <row r="44" spans="1:8">
      <c r="A44">
        <f t="shared" si="7"/>
        <v>85</v>
      </c>
      <c r="B44" s="47">
        <f t="shared" si="0"/>
        <v>5.360342465187585E-9</v>
      </c>
      <c r="C44" s="47">
        <f t="shared" si="1"/>
        <v>2.611666055888695E-9</v>
      </c>
      <c r="D44" s="47">
        <f t="shared" si="2"/>
        <v>1.5467804217545294E-9</v>
      </c>
      <c r="E44" s="47">
        <f t="shared" si="3"/>
        <v>2.0276975257919827E-2</v>
      </c>
      <c r="F44" s="47">
        <f t="shared" si="4"/>
        <v>1.2009203194502166E-2</v>
      </c>
      <c r="G44" s="217">
        <f t="shared" si="5"/>
        <v>3352.3435847653668</v>
      </c>
      <c r="H44" s="217">
        <f t="shared" si="6"/>
        <v>1985.452700668885</v>
      </c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4:E64"/>
  <sheetViews>
    <sheetView workbookViewId="0">
      <selection activeCell="A4" sqref="A4:C4"/>
    </sheetView>
  </sheetViews>
  <sheetFormatPr defaultRowHeight="15"/>
  <cols>
    <col min="1" max="1" width="26.7109375" style="254" customWidth="1"/>
    <col min="2" max="2" width="19.85546875" style="254" customWidth="1"/>
    <col min="3" max="3" width="16.7109375" style="254" customWidth="1"/>
    <col min="4" max="4" width="13.42578125" style="254" customWidth="1"/>
    <col min="5" max="5" width="14.42578125" style="254" customWidth="1"/>
    <col min="6" max="6" width="20" style="254" customWidth="1"/>
    <col min="7" max="16384" width="9.140625" style="254"/>
  </cols>
  <sheetData>
    <row r="4" spans="1:3" ht="46.5" customHeight="1">
      <c r="A4" s="283" t="s">
        <v>703</v>
      </c>
      <c r="B4" s="284"/>
      <c r="C4" s="284"/>
    </row>
    <row r="8" spans="1:3">
      <c r="B8" s="254" t="s">
        <v>702</v>
      </c>
    </row>
    <row r="9" spans="1:3" ht="31.5">
      <c r="A9" s="266" t="s">
        <v>701</v>
      </c>
      <c r="B9" s="273" t="s">
        <v>700</v>
      </c>
      <c r="C9" s="255">
        <v>6.2349999999999998E-5</v>
      </c>
    </row>
    <row r="10" spans="1:3" ht="20.25">
      <c r="A10" s="266" t="s">
        <v>699</v>
      </c>
      <c r="B10" s="273" t="s">
        <v>698</v>
      </c>
      <c r="C10" s="255">
        <v>7.7640000000000002</v>
      </c>
    </row>
    <row r="11" spans="1:3" ht="94.5">
      <c r="A11" s="276" t="s">
        <v>697</v>
      </c>
      <c r="B11" s="275"/>
      <c r="C11" s="274">
        <v>70</v>
      </c>
    </row>
    <row r="12" spans="1:3" ht="30.75">
      <c r="A12" s="266" t="s">
        <v>696</v>
      </c>
      <c r="B12" s="272"/>
      <c r="C12" s="255">
        <f>(PI()/4)*(C11^2-20^2)*(0.000000000001)</f>
        <v>3.5342917352885175E-9</v>
      </c>
    </row>
    <row r="13" spans="1:3" ht="30.75">
      <c r="A13" s="266" t="s">
        <v>695</v>
      </c>
      <c r="B13" s="272"/>
      <c r="C13" s="255">
        <f>C12*10000*C10</f>
        <v>2.7440241032780053E-4</v>
      </c>
    </row>
    <row r="14" spans="1:3" ht="31.5">
      <c r="A14" s="266" t="s">
        <v>694</v>
      </c>
      <c r="B14" s="273" t="s">
        <v>693</v>
      </c>
      <c r="C14" s="255">
        <f>C13+C9</f>
        <v>3.3675241032780055E-4</v>
      </c>
    </row>
    <row r="15" spans="1:3" ht="18.75">
      <c r="A15" s="266" t="s">
        <v>692</v>
      </c>
      <c r="B15" s="272"/>
      <c r="C15" s="255">
        <v>20</v>
      </c>
    </row>
    <row r="16" spans="1:3" ht="30.75">
      <c r="A16" s="266" t="s">
        <v>691</v>
      </c>
      <c r="B16" s="272" t="s">
        <v>690</v>
      </c>
      <c r="C16" s="255">
        <f>(C15/1000)*9.80665</f>
        <v>0.196133</v>
      </c>
    </row>
    <row r="17" spans="1:5" ht="30.75">
      <c r="A17" s="266" t="s">
        <v>689</v>
      </c>
      <c r="B17" s="272"/>
      <c r="C17" s="255">
        <f>0.974/2</f>
        <v>0.48699999999999999</v>
      </c>
    </row>
    <row r="18" spans="1:5" ht="18.75">
      <c r="A18" s="266" t="s">
        <v>688</v>
      </c>
      <c r="B18" s="272" t="s">
        <v>687</v>
      </c>
      <c r="C18" s="255">
        <v>9.8066499999999994</v>
      </c>
    </row>
    <row r="19" spans="1:5" ht="30">
      <c r="A19" s="266" t="s">
        <v>686</v>
      </c>
      <c r="B19" s="262"/>
      <c r="C19" s="255">
        <v>7.7350000000000002E-2</v>
      </c>
    </row>
    <row r="20" spans="1:5">
      <c r="B20" s="262"/>
    </row>
    <row r="21" spans="1:5" ht="26.25">
      <c r="A21" s="271"/>
      <c r="B21" s="270"/>
      <c r="C21" s="269"/>
      <c r="D21" s="268"/>
    </row>
    <row r="22" spans="1:5">
      <c r="B22" s="262"/>
    </row>
    <row r="23" spans="1:5">
      <c r="B23" s="262"/>
    </row>
    <row r="24" spans="1:5">
      <c r="B24" s="262"/>
    </row>
    <row r="25" spans="1:5">
      <c r="B25" s="262"/>
    </row>
    <row r="26" spans="1:5">
      <c r="A26" s="254" t="s">
        <v>685</v>
      </c>
      <c r="B26" s="254">
        <f>($C$18*($C$14-$C$9)*(C19/2))/(10*$C$16)</f>
        <v>5.3062566097138439E-5</v>
      </c>
    </row>
    <row r="27" spans="1:5">
      <c r="A27" s="254" t="s">
        <v>684</v>
      </c>
      <c r="B27" s="255">
        <f>($C$18*($C$19/2)^2*($C$14-$C$9))/(20*$C$16)*-1</f>
        <v>-1.0260973719034143E-6</v>
      </c>
    </row>
    <row r="30" spans="1:5" ht="45">
      <c r="A30" s="254" t="s">
        <v>683</v>
      </c>
      <c r="B30" s="267" t="s">
        <v>682</v>
      </c>
      <c r="C30" s="266" t="s">
        <v>681</v>
      </c>
      <c r="D30" s="266" t="s">
        <v>680</v>
      </c>
      <c r="E30" s="266" t="s">
        <v>679</v>
      </c>
    </row>
    <row r="31" spans="1:5">
      <c r="A31" s="254">
        <v>0</v>
      </c>
      <c r="B31" s="262">
        <f t="shared" ref="B31:B41" si="0">($C$14*$C$18*100000*A31^2)/(2*$C$16)</f>
        <v>0</v>
      </c>
      <c r="C31" s="254">
        <f t="shared" ref="C31:C41" si="1">($C$14*$C$18*A31)/($C$16*10)</f>
        <v>0</v>
      </c>
      <c r="D31" s="254">
        <f t="shared" ref="D31:D44" si="2">(   ($C$9*$C$18*A31^2)/(20*$C$16)   +$B$26*A31   +$B$27)*1000000</f>
        <v>-1.0260973719034143</v>
      </c>
      <c r="E31" s="255">
        <f t="shared" ref="E31:E41" si="3">(($C$9*$C$18*A31)/(10*$C$16))+$B$26</f>
        <v>5.3062566097138439E-5</v>
      </c>
    </row>
    <row r="32" spans="1:5">
      <c r="A32" s="254">
        <f>C19/20</f>
        <v>3.8675000000000003E-3</v>
      </c>
      <c r="B32" s="262">
        <f t="shared" si="0"/>
        <v>1.2592482799502895E-2</v>
      </c>
      <c r="C32" s="254">
        <f t="shared" si="1"/>
        <v>6.5119497347138434E-6</v>
      </c>
      <c r="D32" s="254">
        <f t="shared" si="2"/>
        <v>-0.81854638844226257</v>
      </c>
      <c r="E32" s="255">
        <f t="shared" si="3"/>
        <v>5.4268259222138441E-5</v>
      </c>
    </row>
    <row r="33" spans="1:5">
      <c r="A33" s="254">
        <f t="shared" ref="A33:A41" si="4">A32+$C$19/20</f>
        <v>7.7350000000000006E-3</v>
      </c>
      <c r="B33" s="262">
        <f t="shared" si="0"/>
        <v>5.0369931198011579E-2</v>
      </c>
      <c r="C33" s="254">
        <f t="shared" si="1"/>
        <v>1.3023899469427687E-5</v>
      </c>
      <c r="D33" s="254">
        <f t="shared" si="2"/>
        <v>-0.60633238682017354</v>
      </c>
      <c r="E33" s="255">
        <f t="shared" si="3"/>
        <v>5.5473952347138442E-5</v>
      </c>
    </row>
    <row r="34" spans="1:5">
      <c r="A34" s="254">
        <f t="shared" si="4"/>
        <v>1.1602500000000002E-2</v>
      </c>
      <c r="B34" s="262">
        <f t="shared" si="0"/>
        <v>0.11333234519552607</v>
      </c>
      <c r="C34" s="254">
        <f t="shared" si="1"/>
        <v>1.9535849204141531E-5</v>
      </c>
      <c r="D34" s="254">
        <f t="shared" si="2"/>
        <v>-0.38945536703714678</v>
      </c>
      <c r="E34" s="255">
        <f t="shared" si="3"/>
        <v>5.6679645472138437E-5</v>
      </c>
    </row>
    <row r="35" spans="1:5">
      <c r="A35" s="254">
        <f t="shared" si="4"/>
        <v>1.5470000000000001E-2</v>
      </c>
      <c r="B35" s="262">
        <f t="shared" si="0"/>
        <v>0.20147972479204632</v>
      </c>
      <c r="C35" s="254">
        <f t="shared" si="1"/>
        <v>2.6047798938855374E-5</v>
      </c>
      <c r="D35" s="254">
        <f t="shared" si="2"/>
        <v>-0.16791532909318266</v>
      </c>
      <c r="E35" s="255">
        <f t="shared" si="3"/>
        <v>5.7885338597138438E-5</v>
      </c>
    </row>
    <row r="36" spans="1:5">
      <c r="A36" s="254">
        <f t="shared" si="4"/>
        <v>1.9337500000000001E-2</v>
      </c>
      <c r="B36" s="262">
        <f t="shared" si="0"/>
        <v>0.31481206998757233</v>
      </c>
      <c r="C36" s="254">
        <f t="shared" si="1"/>
        <v>3.2559748673569216E-5</v>
      </c>
      <c r="D36" s="254">
        <f t="shared" si="2"/>
        <v>5.8287727011718901E-2</v>
      </c>
      <c r="E36" s="255">
        <f t="shared" si="3"/>
        <v>5.9091031722138439E-5</v>
      </c>
    </row>
    <row r="37" spans="1:5">
      <c r="A37" s="254">
        <f t="shared" si="4"/>
        <v>2.3205E-2</v>
      </c>
      <c r="B37" s="262">
        <f t="shared" si="0"/>
        <v>0.45332938078210416</v>
      </c>
      <c r="C37" s="254">
        <f t="shared" si="1"/>
        <v>3.9071698408283056E-5</v>
      </c>
      <c r="D37" s="254">
        <f t="shared" si="2"/>
        <v>0.28915380127755824</v>
      </c>
      <c r="E37" s="255">
        <f t="shared" si="3"/>
        <v>6.0296724847138441E-5</v>
      </c>
    </row>
    <row r="38" spans="1:5">
      <c r="A38" s="254">
        <f t="shared" si="4"/>
        <v>2.7072499999999999E-2</v>
      </c>
      <c r="B38" s="262">
        <f t="shared" si="0"/>
        <v>0.61703165717564168</v>
      </c>
      <c r="C38" s="254">
        <f t="shared" si="1"/>
        <v>4.5583648142996895E-5</v>
      </c>
      <c r="D38" s="254">
        <f t="shared" si="2"/>
        <v>0.52468289370433496</v>
      </c>
      <c r="E38" s="255">
        <f t="shared" si="3"/>
        <v>6.1502417972138435E-5</v>
      </c>
    </row>
    <row r="39" spans="1:5">
      <c r="A39" s="254">
        <f t="shared" si="4"/>
        <v>3.0939999999999999E-2</v>
      </c>
      <c r="B39" s="262">
        <f t="shared" si="0"/>
        <v>0.80591889916818504</v>
      </c>
      <c r="C39" s="254">
        <f t="shared" si="1"/>
        <v>5.2095597877710741E-5</v>
      </c>
      <c r="D39" s="254">
        <f t="shared" si="2"/>
        <v>0.76487500429204869</v>
      </c>
      <c r="E39" s="255">
        <f t="shared" si="3"/>
        <v>6.270811109713843E-5</v>
      </c>
    </row>
    <row r="40" spans="1:5">
      <c r="A40" s="254">
        <f t="shared" si="4"/>
        <v>3.4807499999999998E-2</v>
      </c>
      <c r="B40" s="262">
        <f t="shared" si="0"/>
        <v>1.0199911067597343</v>
      </c>
      <c r="C40" s="254">
        <f t="shared" si="1"/>
        <v>5.860754761242458E-5</v>
      </c>
      <c r="D40" s="254">
        <f t="shared" si="2"/>
        <v>1.0097301330407003</v>
      </c>
      <c r="E40" s="255">
        <f t="shared" si="3"/>
        <v>6.3913804222138438E-5</v>
      </c>
    </row>
    <row r="41" spans="1:5">
      <c r="A41" s="254">
        <f t="shared" si="4"/>
        <v>3.8675000000000001E-2</v>
      </c>
      <c r="B41" s="262">
        <f t="shared" si="0"/>
        <v>1.2592482799502893</v>
      </c>
      <c r="C41" s="254">
        <f t="shared" si="1"/>
        <v>6.5119497347138433E-5</v>
      </c>
      <c r="D41" s="254">
        <f t="shared" si="2"/>
        <v>1.2592482799502895</v>
      </c>
      <c r="E41" s="255">
        <f t="shared" si="3"/>
        <v>6.5119497347138433E-5</v>
      </c>
    </row>
    <row r="42" spans="1:5">
      <c r="A42" s="265">
        <f>A44*0.33</f>
        <v>0.16070999999999999</v>
      </c>
      <c r="B42" s="262"/>
      <c r="D42" s="254">
        <f t="shared" si="2"/>
        <v>11.527481002155204</v>
      </c>
    </row>
    <row r="43" spans="1:5">
      <c r="A43" s="265">
        <f>A44*0.66</f>
        <v>0.32141999999999998</v>
      </c>
      <c r="B43" s="262"/>
      <c r="D43" s="254">
        <f t="shared" si="2"/>
        <v>32.132846129388817</v>
      </c>
    </row>
    <row r="44" spans="1:5" ht="31.5">
      <c r="A44" s="264">
        <f>C17</f>
        <v>0.48699999999999999</v>
      </c>
      <c r="B44" s="262">
        <f>($C$14*$C$18*100000*A44^2)/(2*$C$16)</f>
        <v>199.6680810125853</v>
      </c>
      <c r="C44" s="254">
        <f>($C$14*$C$18*A44)/($C$16*10)</f>
        <v>8.1999211914819431E-4</v>
      </c>
      <c r="D44" s="263">
        <f t="shared" si="2"/>
        <v>61.784090192402999</v>
      </c>
      <c r="E44" s="255">
        <f>(($C$9*$C$18*A44)/(10*$C$16))+$B$26</f>
        <v>2.0488481609713842E-4</v>
      </c>
    </row>
    <row r="46" spans="1:5">
      <c r="B46" s="262"/>
    </row>
    <row r="47" spans="1:5">
      <c r="B47" s="262"/>
    </row>
    <row r="51" spans="1:2" ht="15.75" thickBot="1"/>
    <row r="52" spans="1:2" ht="15.75" thickTop="1">
      <c r="A52" s="261" t="s">
        <v>678</v>
      </c>
      <c r="B52" s="260" t="s">
        <v>677</v>
      </c>
    </row>
    <row r="53" spans="1:2">
      <c r="A53" s="259" t="s">
        <v>676</v>
      </c>
      <c r="B53" s="258">
        <v>36.97</v>
      </c>
    </row>
    <row r="54" spans="1:2">
      <c r="A54" s="259">
        <v>30</v>
      </c>
      <c r="B54" s="258">
        <v>39.729999999999997</v>
      </c>
    </row>
    <row r="55" spans="1:2">
      <c r="A55" s="259">
        <f t="shared" ref="A55:A61" si="5">A54+10</f>
        <v>40</v>
      </c>
      <c r="B55" s="258">
        <v>43.59</v>
      </c>
    </row>
    <row r="56" spans="1:2">
      <c r="A56" s="259">
        <f t="shared" si="5"/>
        <v>50</v>
      </c>
      <c r="B56" s="258">
        <v>48.55</v>
      </c>
    </row>
    <row r="57" spans="1:2">
      <c r="A57" s="259">
        <f t="shared" si="5"/>
        <v>60</v>
      </c>
      <c r="B57" s="258">
        <v>54.62</v>
      </c>
    </row>
    <row r="58" spans="1:2">
      <c r="A58" s="259">
        <f t="shared" si="5"/>
        <v>70</v>
      </c>
      <c r="B58" s="258">
        <v>61.78</v>
      </c>
    </row>
    <row r="59" spans="1:2">
      <c r="A59" s="259">
        <f t="shared" si="5"/>
        <v>80</v>
      </c>
      <c r="B59" s="258">
        <v>70.06</v>
      </c>
    </row>
    <row r="60" spans="1:2">
      <c r="A60" s="259">
        <f t="shared" si="5"/>
        <v>90</v>
      </c>
      <c r="B60" s="258">
        <v>79.430000000000007</v>
      </c>
    </row>
    <row r="61" spans="1:2" ht="15.75" thickBot="1">
      <c r="A61" s="257">
        <f t="shared" si="5"/>
        <v>100</v>
      </c>
      <c r="B61" s="256">
        <v>89.91</v>
      </c>
    </row>
    <row r="62" spans="1:2" ht="15.75" thickTop="1"/>
    <row r="64" spans="1:2">
      <c r="B64" s="255"/>
    </row>
  </sheetData>
  <mergeCells count="1">
    <mergeCell ref="A4:C4"/>
  </mergeCells>
  <pageMargins left="0.7" right="0.7" top="0.75" bottom="0.75" header="0.3" footer="0.3"/>
  <pageSetup orientation="portrait" r:id="rId1"/>
  <drawing r:id="rId2"/>
  <legacyDrawing r:id="rId3"/>
  <oleObjects>
    <oleObject progId="Equation.3" shapeId="3174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3:Q95"/>
  <sheetViews>
    <sheetView zoomScaleNormal="100" workbookViewId="0">
      <selection activeCell="M39" sqref="M39"/>
    </sheetView>
  </sheetViews>
  <sheetFormatPr defaultRowHeight="12.75"/>
  <cols>
    <col min="1" max="1" width="32.140625" customWidth="1"/>
    <col min="2" max="2" width="16" customWidth="1"/>
    <col min="3" max="3" width="9" customWidth="1"/>
    <col min="4" max="4" width="8" customWidth="1"/>
    <col min="5" max="5" width="9.85546875" customWidth="1"/>
    <col min="6" max="6" width="12.28515625" customWidth="1"/>
  </cols>
  <sheetData>
    <row r="23" spans="1:17" ht="18">
      <c r="A23" s="73"/>
    </row>
    <row r="27" spans="1:17" ht="15.75">
      <c r="A27" t="s">
        <v>179</v>
      </c>
      <c r="B27" s="74">
        <v>75</v>
      </c>
    </row>
    <row r="28" spans="1:17" ht="30.75" customHeight="1" thickBot="1">
      <c r="B28" s="1" t="s">
        <v>180</v>
      </c>
      <c r="C28" t="s">
        <v>181</v>
      </c>
      <c r="D28" t="s">
        <v>182</v>
      </c>
    </row>
    <row r="29" spans="1:17" ht="24" thickTop="1">
      <c r="A29" s="57"/>
      <c r="B29" s="75">
        <v>50</v>
      </c>
      <c r="C29">
        <f>$G$40*(SIN(RADIANS(B29)))</f>
        <v>15.32088886237956</v>
      </c>
      <c r="D29">
        <f>$G$40*SIN(RADIANS(B29-90))</f>
        <v>-12.855752193730785</v>
      </c>
      <c r="F29" s="59"/>
      <c r="G29" s="76">
        <v>92</v>
      </c>
      <c r="I29" s="77"/>
      <c r="J29" s="78"/>
      <c r="K29" s="78"/>
      <c r="L29" s="78"/>
      <c r="M29" s="78"/>
      <c r="N29" s="78"/>
      <c r="O29" s="78"/>
      <c r="P29" s="78"/>
      <c r="Q29" s="78"/>
    </row>
    <row r="30" spans="1:17">
      <c r="A30" s="79" t="s">
        <v>183</v>
      </c>
      <c r="B30" s="80">
        <v>82</v>
      </c>
      <c r="C30">
        <f>$G$40*(SIN(RADIANS(B30)))</f>
        <v>19.805361374831406</v>
      </c>
      <c r="D30">
        <f>$G$40*SIN(RADIANS(B30-90))</f>
        <v>-2.7834620192013086</v>
      </c>
      <c r="F30" s="59"/>
      <c r="G30" s="76">
        <v>212.25</v>
      </c>
      <c r="I30" t="s">
        <v>184</v>
      </c>
    </row>
    <row r="31" spans="1:17">
      <c r="A31" s="59"/>
      <c r="B31" s="80">
        <v>98</v>
      </c>
      <c r="C31">
        <f>$G$40*(SIN(RADIANS(B31)))</f>
        <v>19.805361374831406</v>
      </c>
      <c r="D31">
        <f>$G$40*SIN(RADIANS(B31-90))</f>
        <v>2.7834620192013086</v>
      </c>
      <c r="F31" s="59"/>
      <c r="G31" s="76">
        <v>228</v>
      </c>
      <c r="I31" t="s">
        <v>181</v>
      </c>
      <c r="J31" t="s">
        <v>182</v>
      </c>
    </row>
    <row r="32" spans="1:17">
      <c r="A32" s="59"/>
      <c r="B32" s="80">
        <v>130</v>
      </c>
      <c r="C32">
        <f>$G$40*(SIN(RADIANS(B32)))</f>
        <v>15.32088886237956</v>
      </c>
      <c r="D32">
        <f>$G$40*SIN(RADIANS(B32-90))</f>
        <v>12.855752193730785</v>
      </c>
      <c r="F32" s="59"/>
      <c r="G32" s="107">
        <v>247</v>
      </c>
      <c r="I32">
        <v>0</v>
      </c>
      <c r="J32">
        <v>0</v>
      </c>
    </row>
    <row r="33" spans="1:10">
      <c r="B33" s="4">
        <f t="shared" ref="B33:B41" si="0">IF((G29-$B$27)&lt;0,(G29-$B$27)+360,G29-$B$27)</f>
        <v>17</v>
      </c>
      <c r="C33">
        <f t="shared" ref="C33:C41" si="1">$G$41*(SIN(RADIANS(B33)))</f>
        <v>6.1398057991774717</v>
      </c>
      <c r="D33">
        <f t="shared" ref="D33:D41" si="2">$G$41*SIN(RADIANS(B33-90))</f>
        <v>-20.082399875223743</v>
      </c>
      <c r="F33" s="81" t="s">
        <v>185</v>
      </c>
      <c r="G33" s="76">
        <v>268</v>
      </c>
      <c r="I33">
        <v>-25.166</v>
      </c>
      <c r="J33">
        <v>12.273999999999999</v>
      </c>
    </row>
    <row r="34" spans="1:10">
      <c r="B34" s="4">
        <f t="shared" si="0"/>
        <v>137.25</v>
      </c>
      <c r="C34">
        <f t="shared" si="1"/>
        <v>14.254815656191775</v>
      </c>
      <c r="D34">
        <f t="shared" si="2"/>
        <v>15.420772698149397</v>
      </c>
      <c r="F34" s="59"/>
      <c r="G34" s="76">
        <v>277</v>
      </c>
      <c r="I34">
        <v>-23.213000000000001</v>
      </c>
      <c r="J34">
        <v>15.657</v>
      </c>
    </row>
    <row r="35" spans="1:10">
      <c r="B35" s="4">
        <f t="shared" si="0"/>
        <v>153</v>
      </c>
      <c r="C35">
        <f t="shared" si="1"/>
        <v>9.5338004945304835</v>
      </c>
      <c r="D35">
        <f t="shared" si="2"/>
        <v>18.711137007955724</v>
      </c>
      <c r="F35" s="59"/>
      <c r="G35" s="76">
        <v>293</v>
      </c>
      <c r="I35">
        <v>0</v>
      </c>
      <c r="J35">
        <v>0</v>
      </c>
    </row>
    <row r="36" spans="1:10">
      <c r="B36" s="4">
        <f t="shared" si="0"/>
        <v>172</v>
      </c>
      <c r="C36">
        <f t="shared" si="1"/>
        <v>2.9226351201613721</v>
      </c>
      <c r="D36">
        <f t="shared" si="2"/>
        <v>20.795629443572977</v>
      </c>
      <c r="F36" s="59"/>
      <c r="G36" s="76">
        <v>306</v>
      </c>
      <c r="I36">
        <v>-25.166</v>
      </c>
      <c r="J36">
        <v>-12.273999999999999</v>
      </c>
    </row>
    <row r="37" spans="1:10" ht="13.5" thickBot="1">
      <c r="A37" s="10" t="s">
        <v>186</v>
      </c>
      <c r="B37" s="4">
        <f t="shared" si="0"/>
        <v>193</v>
      </c>
      <c r="C37">
        <f t="shared" si="1"/>
        <v>-4.7239721412211644</v>
      </c>
      <c r="D37">
        <f t="shared" si="2"/>
        <v>20.461771360489941</v>
      </c>
      <c r="F37" s="61"/>
      <c r="G37" s="82">
        <v>325</v>
      </c>
      <c r="I37">
        <v>-23.213000000000001</v>
      </c>
      <c r="J37">
        <v>-15.657</v>
      </c>
    </row>
    <row r="38" spans="1:10" ht="13.5" thickTop="1">
      <c r="B38" s="4">
        <f t="shared" si="0"/>
        <v>202</v>
      </c>
      <c r="C38">
        <f t="shared" si="1"/>
        <v>-7.866738461734152</v>
      </c>
      <c r="D38">
        <f t="shared" si="2"/>
        <v>19.470860945902537</v>
      </c>
      <c r="I38">
        <v>0</v>
      </c>
      <c r="J38">
        <v>0</v>
      </c>
    </row>
    <row r="39" spans="1:10" ht="13.5" thickBot="1">
      <c r="B39" s="4">
        <f t="shared" si="0"/>
        <v>218</v>
      </c>
      <c r="C39">
        <f t="shared" si="1"/>
        <v>-12.928890981838823</v>
      </c>
      <c r="D39">
        <f t="shared" si="2"/>
        <v>16.548225825741163</v>
      </c>
      <c r="I39">
        <v>0</v>
      </c>
      <c r="J39">
        <v>0</v>
      </c>
    </row>
    <row r="40" spans="1:10" ht="13.5" thickTop="1">
      <c r="B40" s="4">
        <f t="shared" si="0"/>
        <v>231</v>
      </c>
      <c r="C40">
        <f t="shared" si="1"/>
        <v>-16.320065190596381</v>
      </c>
      <c r="D40">
        <f t="shared" si="2"/>
        <v>13.215728212046585</v>
      </c>
      <c r="F40" s="83" t="s">
        <v>187</v>
      </c>
      <c r="G40" s="84">
        <v>20</v>
      </c>
      <c r="I40">
        <v>25.166</v>
      </c>
      <c r="J40">
        <v>12.273999999999999</v>
      </c>
    </row>
    <row r="41" spans="1:10">
      <c r="B41" s="4">
        <f t="shared" si="0"/>
        <v>250</v>
      </c>
      <c r="C41">
        <f t="shared" si="1"/>
        <v>-19.733545036504076</v>
      </c>
      <c r="D41">
        <f t="shared" si="2"/>
        <v>7.1824230098390469</v>
      </c>
      <c r="F41" s="85" t="s">
        <v>188</v>
      </c>
      <c r="G41" s="86">
        <v>21</v>
      </c>
      <c r="I41">
        <v>23.213000000000001</v>
      </c>
      <c r="J41">
        <v>15.657</v>
      </c>
    </row>
    <row r="42" spans="1:10">
      <c r="B42" s="87">
        <f t="shared" ref="B42:B50" si="3">IF(B33&lt;=180,180-B33,540-B33)</f>
        <v>163</v>
      </c>
      <c r="C42">
        <f t="shared" ref="C42:C50" si="4">$G$42*(SIN(RADIANS(B42)))</f>
        <v>5.5550623897319955</v>
      </c>
      <c r="D42">
        <f t="shared" ref="D42:D50" si="5">$G$42*SIN(RADIANS(B42-90))</f>
        <v>18.169790363297672</v>
      </c>
      <c r="F42" s="85" t="s">
        <v>189</v>
      </c>
      <c r="G42" s="86">
        <v>19</v>
      </c>
      <c r="I42">
        <v>0</v>
      </c>
      <c r="J42">
        <v>0</v>
      </c>
    </row>
    <row r="43" spans="1:10">
      <c r="A43">
        <v>232</v>
      </c>
      <c r="B43" s="87">
        <f t="shared" si="3"/>
        <v>42.75</v>
      </c>
      <c r="C43" s="88">
        <f t="shared" si="4"/>
        <v>12.897214165125892</v>
      </c>
      <c r="D43" s="88">
        <f t="shared" si="5"/>
        <v>-13.952127679278025</v>
      </c>
      <c r="F43" s="85" t="s">
        <v>190</v>
      </c>
      <c r="G43" s="86">
        <v>23</v>
      </c>
      <c r="I43">
        <v>25.166</v>
      </c>
      <c r="J43">
        <v>-12.273999999999999</v>
      </c>
    </row>
    <row r="44" spans="1:10">
      <c r="B44" s="87">
        <f t="shared" si="3"/>
        <v>27</v>
      </c>
      <c r="C44">
        <f t="shared" si="4"/>
        <v>8.6258194950513882</v>
      </c>
      <c r="D44">
        <f t="shared" si="5"/>
        <v>-16.929123959578988</v>
      </c>
      <c r="F44" s="85" t="s">
        <v>191</v>
      </c>
      <c r="G44" s="86">
        <v>24</v>
      </c>
      <c r="I44">
        <v>23.213000000000001</v>
      </c>
      <c r="J44">
        <v>-15.657</v>
      </c>
    </row>
    <row r="45" spans="1:10">
      <c r="A45" s="89" t="s">
        <v>192</v>
      </c>
      <c r="B45" s="87">
        <f t="shared" si="3"/>
        <v>8</v>
      </c>
      <c r="C45">
        <f t="shared" si="4"/>
        <v>2.6442889182412435</v>
      </c>
      <c r="D45">
        <f t="shared" si="5"/>
        <v>-18.815093306089835</v>
      </c>
      <c r="F45" s="85" t="s">
        <v>193</v>
      </c>
      <c r="G45" s="86">
        <v>22</v>
      </c>
      <c r="I45">
        <v>0</v>
      </c>
      <c r="J45">
        <v>0</v>
      </c>
    </row>
    <row r="46" spans="1:10" ht="15" customHeight="1">
      <c r="B46" s="87">
        <f t="shared" si="3"/>
        <v>347</v>
      </c>
      <c r="C46">
        <f t="shared" si="4"/>
        <v>-4.2740700325334418</v>
      </c>
      <c r="D46">
        <f t="shared" si="5"/>
        <v>-18.513031230919466</v>
      </c>
      <c r="F46" s="85" t="s">
        <v>194</v>
      </c>
      <c r="G46" s="86">
        <v>26</v>
      </c>
      <c r="I46">
        <v>1.9530000000000001</v>
      </c>
      <c r="J46">
        <v>27.931999999999999</v>
      </c>
    </row>
    <row r="47" spans="1:10">
      <c r="B47" s="87">
        <f t="shared" si="3"/>
        <v>338</v>
      </c>
      <c r="C47">
        <f t="shared" si="4"/>
        <v>-7.1175252749023343</v>
      </c>
      <c r="D47">
        <f t="shared" si="5"/>
        <v>-17.61649323676896</v>
      </c>
      <c r="F47" s="85" t="s">
        <v>195</v>
      </c>
      <c r="G47" s="86">
        <v>27</v>
      </c>
      <c r="I47">
        <v>-1.9530000000000001</v>
      </c>
      <c r="J47">
        <v>27.931999999999999</v>
      </c>
    </row>
    <row r="48" spans="1:10" ht="13.5" thickBot="1">
      <c r="B48" s="87">
        <f t="shared" si="3"/>
        <v>322</v>
      </c>
      <c r="C48">
        <f t="shared" si="4"/>
        <v>-11.697568031187505</v>
      </c>
      <c r="D48">
        <f t="shared" si="5"/>
        <v>-14.972204318527721</v>
      </c>
      <c r="F48" s="90" t="s">
        <v>196</v>
      </c>
      <c r="G48" s="91">
        <v>25</v>
      </c>
      <c r="I48">
        <v>0</v>
      </c>
      <c r="J48">
        <v>0</v>
      </c>
    </row>
    <row r="49" spans="1:10" ht="13.5" thickTop="1">
      <c r="B49" s="87">
        <f t="shared" si="3"/>
        <v>309</v>
      </c>
      <c r="C49">
        <f t="shared" si="4"/>
        <v>-14.765773267682444</v>
      </c>
      <c r="D49">
        <f t="shared" si="5"/>
        <v>-11.957087429946915</v>
      </c>
      <c r="I49">
        <v>1.9530000000000001</v>
      </c>
      <c r="J49">
        <v>-27.931999999999999</v>
      </c>
    </row>
    <row r="50" spans="1:10" ht="13.5" thickBot="1">
      <c r="B50" s="87">
        <f t="shared" si="3"/>
        <v>290</v>
      </c>
      <c r="C50">
        <f t="shared" si="4"/>
        <v>-17.854159794932258</v>
      </c>
      <c r="D50">
        <f t="shared" si="5"/>
        <v>-6.4983827231877047</v>
      </c>
      <c r="I50">
        <v>-1.9530000000000001</v>
      </c>
      <c r="J50">
        <v>-27.931999999999999</v>
      </c>
    </row>
    <row r="51" spans="1:10" ht="13.5" thickTop="1">
      <c r="A51" s="57"/>
      <c r="B51" s="92">
        <f t="shared" ref="B51:B94" si="6">IF(B29+60&gt;=360,B29-300,B29+60)</f>
        <v>110</v>
      </c>
      <c r="C51">
        <f>$G$43*(SIN(RADIANS(B51)))</f>
        <v>21.612930278075893</v>
      </c>
      <c r="D51">
        <f>$G$43*SIN(RADIANS(B51-90))</f>
        <v>7.8664632964903802</v>
      </c>
      <c r="I51">
        <v>0</v>
      </c>
      <c r="J51">
        <v>0</v>
      </c>
    </row>
    <row r="52" spans="1:10">
      <c r="A52" s="93" t="s">
        <v>197</v>
      </c>
      <c r="B52" s="94">
        <f t="shared" si="6"/>
        <v>142</v>
      </c>
      <c r="C52">
        <f>$G$43*(SIN(RADIANS(B52)))</f>
        <v>14.160213932490143</v>
      </c>
      <c r="D52">
        <f>$G$43*SIN(RADIANS(B52-90))</f>
        <v>18.124247332954607</v>
      </c>
    </row>
    <row r="53" spans="1:10">
      <c r="A53" s="59"/>
      <c r="B53" s="94">
        <f t="shared" si="6"/>
        <v>158</v>
      </c>
      <c r="C53">
        <f>$G$43*(SIN(RADIANS(B53)))</f>
        <v>8.6159516485659822</v>
      </c>
      <c r="D53">
        <f>$G$43*SIN(RADIANS(B53-90))</f>
        <v>21.32522865503611</v>
      </c>
    </row>
    <row r="54" spans="1:10" ht="15.75" customHeight="1">
      <c r="A54" s="59"/>
      <c r="B54" s="94">
        <f t="shared" si="6"/>
        <v>190</v>
      </c>
      <c r="C54">
        <f>$G$43*(SIN(RADIANS(B54)))</f>
        <v>-3.9939080863394008</v>
      </c>
      <c r="D54">
        <f>$G$43*SIN(RADIANS(B54-90))</f>
        <v>22.650578319280786</v>
      </c>
    </row>
    <row r="55" spans="1:10">
      <c r="B55" s="95">
        <f t="shared" si="6"/>
        <v>77</v>
      </c>
      <c r="C55">
        <f t="shared" ref="C55:C63" si="7">$G$44*(SIN(RADIANS(B55)))</f>
        <v>23.384881554845645</v>
      </c>
      <c r="D55">
        <f t="shared" ref="D55:D63" si="8">$G$44*SIN(RADIANS(B55-90))</f>
        <v>-5.3988253042527603</v>
      </c>
    </row>
    <row r="56" spans="1:10">
      <c r="B56" s="95">
        <f t="shared" si="6"/>
        <v>197.25</v>
      </c>
      <c r="C56">
        <f t="shared" si="7"/>
        <v>-7.1169977994136984</v>
      </c>
      <c r="D56">
        <f t="shared" si="8"/>
        <v>22.920478666972478</v>
      </c>
    </row>
    <row r="57" spans="1:10">
      <c r="B57" s="95">
        <f t="shared" si="6"/>
        <v>213</v>
      </c>
      <c r="C57">
        <f t="shared" si="7"/>
        <v>-13.071336840360651</v>
      </c>
      <c r="D57">
        <f t="shared" si="8"/>
        <v>20.128093630690174</v>
      </c>
    </row>
    <row r="58" spans="1:10">
      <c r="B58" s="95">
        <f t="shared" si="6"/>
        <v>232</v>
      </c>
      <c r="C58">
        <f t="shared" si="7"/>
        <v>-18.91225808656133</v>
      </c>
      <c r="D58">
        <f t="shared" si="8"/>
        <v>14.775875407815802</v>
      </c>
    </row>
    <row r="59" spans="1:10">
      <c r="A59" s="96" t="s">
        <v>198</v>
      </c>
      <c r="B59" s="95">
        <f t="shared" si="6"/>
        <v>253</v>
      </c>
      <c r="C59">
        <f t="shared" si="7"/>
        <v>-22.951314143112846</v>
      </c>
      <c r="D59">
        <f t="shared" si="8"/>
        <v>7.0169209133456789</v>
      </c>
    </row>
    <row r="60" spans="1:10">
      <c r="B60" s="95">
        <f t="shared" si="6"/>
        <v>262</v>
      </c>
      <c r="C60">
        <f t="shared" si="7"/>
        <v>-23.766433649797687</v>
      </c>
      <c r="D60">
        <f t="shared" si="8"/>
        <v>3.3401544230415681</v>
      </c>
    </row>
    <row r="61" spans="1:10">
      <c r="B61" s="95">
        <f t="shared" si="6"/>
        <v>278</v>
      </c>
      <c r="C61">
        <f t="shared" si="7"/>
        <v>-23.76643364979769</v>
      </c>
      <c r="D61">
        <f t="shared" si="8"/>
        <v>-3.3401544230415725</v>
      </c>
    </row>
    <row r="62" spans="1:10">
      <c r="B62" s="95">
        <f t="shared" si="6"/>
        <v>291</v>
      </c>
      <c r="C62">
        <f t="shared" si="7"/>
        <v>-22.405930235932843</v>
      </c>
      <c r="D62">
        <f t="shared" si="8"/>
        <v>-8.60083078908721</v>
      </c>
    </row>
    <row r="63" spans="1:10">
      <c r="B63" s="95">
        <f t="shared" si="6"/>
        <v>310</v>
      </c>
      <c r="C63">
        <f t="shared" si="7"/>
        <v>-18.385066634855477</v>
      </c>
      <c r="D63">
        <f t="shared" si="8"/>
        <v>-15.426902632476942</v>
      </c>
    </row>
    <row r="64" spans="1:10">
      <c r="B64" s="97">
        <f t="shared" si="6"/>
        <v>223</v>
      </c>
      <c r="C64">
        <f t="shared" ref="C64:C72" si="9">$G$45*(SIN(RADIANS(B64)))</f>
        <v>-15.003963921374964</v>
      </c>
      <c r="D64">
        <f t="shared" ref="D64:D72" si="10">$G$45*SIN(RADIANS(B64-90))</f>
        <v>16.089781435621752</v>
      </c>
    </row>
    <row r="65" spans="1:6">
      <c r="B65" s="97">
        <f t="shared" si="6"/>
        <v>102.75</v>
      </c>
      <c r="C65">
        <f t="shared" si="9"/>
        <v>21.457531051187278</v>
      </c>
      <c r="D65">
        <f t="shared" si="10"/>
        <v>4.8553435704730239</v>
      </c>
    </row>
    <row r="66" spans="1:6">
      <c r="B66" s="97">
        <f t="shared" si="6"/>
        <v>87</v>
      </c>
      <c r="C66">
        <f t="shared" si="9"/>
        <v>21.969849764600625</v>
      </c>
      <c r="D66">
        <f t="shared" si="10"/>
        <v>-1.1513910373447644</v>
      </c>
    </row>
    <row r="67" spans="1:6">
      <c r="A67" s="98" t="s">
        <v>199</v>
      </c>
      <c r="B67" s="97">
        <f t="shared" si="6"/>
        <v>68</v>
      </c>
      <c r="C67">
        <f t="shared" si="9"/>
        <v>20.398044800469322</v>
      </c>
      <c r="D67">
        <f t="shared" si="10"/>
        <v>-8.2413450551500649</v>
      </c>
    </row>
    <row r="68" spans="1:6">
      <c r="B68" s="97">
        <f t="shared" si="6"/>
        <v>47</v>
      </c>
      <c r="C68">
        <f t="shared" si="9"/>
        <v>16.089781435621749</v>
      </c>
      <c r="D68">
        <f t="shared" si="10"/>
        <v>-15.003963921374966</v>
      </c>
    </row>
    <row r="69" spans="1:6">
      <c r="B69" s="97">
        <f t="shared" si="6"/>
        <v>38</v>
      </c>
      <c r="C69">
        <f t="shared" si="9"/>
        <v>13.544552457164482</v>
      </c>
      <c r="D69">
        <f t="shared" si="10"/>
        <v>-17.336236579347883</v>
      </c>
    </row>
    <row r="70" spans="1:6">
      <c r="B70" s="97">
        <f t="shared" si="6"/>
        <v>22</v>
      </c>
      <c r="C70">
        <f t="shared" si="9"/>
        <v>8.2413450551500649</v>
      </c>
      <c r="D70">
        <f t="shared" si="10"/>
        <v>-20.398044800469322</v>
      </c>
    </row>
    <row r="71" spans="1:6">
      <c r="B71" s="97">
        <f t="shared" si="6"/>
        <v>9</v>
      </c>
      <c r="C71">
        <f t="shared" si="9"/>
        <v>3.4415582308850792</v>
      </c>
      <c r="D71">
        <f t="shared" si="10"/>
        <v>-21.72914349309303</v>
      </c>
    </row>
    <row r="72" spans="1:6" ht="13.5" thickBot="1">
      <c r="B72" s="99">
        <f t="shared" si="6"/>
        <v>350</v>
      </c>
      <c r="C72">
        <f t="shared" si="9"/>
        <v>-3.8202599086724685</v>
      </c>
      <c r="D72">
        <f t="shared" si="10"/>
        <v>-21.665770566268577</v>
      </c>
    </row>
    <row r="73" spans="1:6" ht="13.5" thickTop="1">
      <c r="A73" s="57"/>
      <c r="B73" s="100">
        <f t="shared" si="6"/>
        <v>170</v>
      </c>
      <c r="C73">
        <f>$G$46*(SIN(RADIANS(B73)))</f>
        <v>4.5148526193401874</v>
      </c>
      <c r="D73">
        <f>$G$46*SIN(RADIANS(B73-90))</f>
        <v>25.60500157831741</v>
      </c>
    </row>
    <row r="74" spans="1:6">
      <c r="A74" s="101" t="s">
        <v>200</v>
      </c>
      <c r="B74" s="102">
        <f t="shared" si="6"/>
        <v>202</v>
      </c>
      <c r="C74">
        <f>$G$46*(SIN(RADIANS(B74)))</f>
        <v>-9.7397714288137127</v>
      </c>
      <c r="D74">
        <f>$G$46*SIN(RADIANS(B74-90))</f>
        <v>24.106780218736475</v>
      </c>
    </row>
    <row r="75" spans="1:6">
      <c r="A75" s="59"/>
      <c r="B75" s="102">
        <f t="shared" si="6"/>
        <v>218</v>
      </c>
      <c r="C75">
        <f>$G$46*(SIN(RADIANS(B75)))</f>
        <v>-16.007198358467114</v>
      </c>
      <c r="D75">
        <f>$G$46*SIN(RADIANS(B75-90))</f>
        <v>20.488279593774774</v>
      </c>
    </row>
    <row r="76" spans="1:6">
      <c r="A76" s="59"/>
      <c r="B76" s="102">
        <f t="shared" si="6"/>
        <v>250</v>
      </c>
      <c r="C76">
        <f>$G$46*(SIN(RADIANS(B76)))</f>
        <v>-24.43200814043362</v>
      </c>
      <c r="D76">
        <f>$G$46*SIN(RADIANS(B76-90))</f>
        <v>8.8925237264673918</v>
      </c>
    </row>
    <row r="77" spans="1:6">
      <c r="B77" s="103">
        <f t="shared" si="6"/>
        <v>137</v>
      </c>
      <c r="C77">
        <f t="shared" ref="C77:C85" si="11">$G$47*(SIN(RADIANS(B77)))</f>
        <v>18.413955721687461</v>
      </c>
      <c r="D77">
        <f t="shared" ref="D77:D85" si="12">$G$47*SIN(RADIANS(B77-90))</f>
        <v>19.746549943717604</v>
      </c>
      <c r="E77">
        <f t="shared" ref="E77:E85" si="13">$G$41*(SIN(RADIANS(B77)))</f>
        <v>14.321965561312471</v>
      </c>
      <c r="F77">
        <f t="shared" ref="F77:F85" si="14">$G$41*SIN(RADIANS(B77-90))</f>
        <v>15.35842773400258</v>
      </c>
    </row>
    <row r="78" spans="1:6">
      <c r="B78" s="103">
        <f t="shared" si="6"/>
        <v>257.25</v>
      </c>
      <c r="C78">
        <f t="shared" si="11"/>
        <v>-26.334242653729845</v>
      </c>
      <c r="D78">
        <f t="shared" si="12"/>
        <v>5.9588307455805305</v>
      </c>
      <c r="E78">
        <f t="shared" si="13"/>
        <v>-20.482188730678768</v>
      </c>
      <c r="F78">
        <f t="shared" si="14"/>
        <v>4.6346461354515238</v>
      </c>
    </row>
    <row r="79" spans="1:6">
      <c r="B79" s="103">
        <f t="shared" si="6"/>
        <v>273</v>
      </c>
      <c r="C79">
        <f t="shared" si="11"/>
        <v>-26.962997438373492</v>
      </c>
      <c r="D79">
        <f t="shared" si="12"/>
        <v>-1.413070818559476</v>
      </c>
      <c r="E79">
        <f t="shared" si="13"/>
        <v>-20.97122022984605</v>
      </c>
      <c r="F79">
        <f t="shared" si="14"/>
        <v>-1.0990550811018147</v>
      </c>
    </row>
    <row r="80" spans="1:6">
      <c r="B80" s="103">
        <f t="shared" si="6"/>
        <v>292</v>
      </c>
      <c r="C80">
        <f t="shared" si="11"/>
        <v>-25.03396407330326</v>
      </c>
      <c r="D80">
        <f t="shared" si="12"/>
        <v>-10.114378022229625</v>
      </c>
      <c r="E80">
        <f t="shared" si="13"/>
        <v>-19.470860945902537</v>
      </c>
      <c r="F80">
        <f t="shared" si="14"/>
        <v>-7.866738461734152</v>
      </c>
    </row>
    <row r="81" spans="1:6">
      <c r="A81" s="72" t="s">
        <v>201</v>
      </c>
      <c r="B81" s="103">
        <f t="shared" si="6"/>
        <v>313</v>
      </c>
      <c r="C81">
        <f t="shared" si="11"/>
        <v>-19.7465499437176</v>
      </c>
      <c r="D81">
        <f t="shared" si="12"/>
        <v>-18.413955721687454</v>
      </c>
      <c r="E81">
        <f t="shared" si="13"/>
        <v>-15.358427734002577</v>
      </c>
      <c r="F81">
        <f t="shared" si="14"/>
        <v>-14.321965561312465</v>
      </c>
    </row>
    <row r="82" spans="1:6">
      <c r="B82" s="103">
        <f t="shared" si="6"/>
        <v>322</v>
      </c>
      <c r="C82">
        <f t="shared" si="11"/>
        <v>-16.62285983379277</v>
      </c>
      <c r="D82">
        <f t="shared" si="12"/>
        <v>-21.276290347381497</v>
      </c>
      <c r="E82">
        <f t="shared" si="13"/>
        <v>-12.928890981838823</v>
      </c>
      <c r="F82">
        <f t="shared" si="14"/>
        <v>-16.548225825741163</v>
      </c>
    </row>
    <row r="83" spans="1:6">
      <c r="B83" s="103">
        <f t="shared" si="6"/>
        <v>338</v>
      </c>
      <c r="C83">
        <f t="shared" si="11"/>
        <v>-10.114378022229634</v>
      </c>
      <c r="D83">
        <f t="shared" si="12"/>
        <v>-25.033964073303256</v>
      </c>
      <c r="E83">
        <f t="shared" si="13"/>
        <v>-7.8667384617341591</v>
      </c>
      <c r="F83">
        <f t="shared" si="14"/>
        <v>-19.470860945902533</v>
      </c>
    </row>
    <row r="84" spans="1:6">
      <c r="B84" s="103">
        <f t="shared" si="6"/>
        <v>351</v>
      </c>
      <c r="C84">
        <f t="shared" si="11"/>
        <v>-4.2237305560862399</v>
      </c>
      <c r="D84">
        <f t="shared" si="12"/>
        <v>-26.667585196068718</v>
      </c>
      <c r="E84">
        <f t="shared" si="13"/>
        <v>-3.2851237658448533</v>
      </c>
      <c r="F84">
        <f t="shared" si="14"/>
        <v>-20.741455152497892</v>
      </c>
    </row>
    <row r="85" spans="1:6">
      <c r="B85" s="103">
        <f t="shared" si="6"/>
        <v>10</v>
      </c>
      <c r="C85">
        <f t="shared" si="11"/>
        <v>4.6885007970071193</v>
      </c>
      <c r="D85">
        <f t="shared" si="12"/>
        <v>-26.589809331329615</v>
      </c>
      <c r="E85">
        <f t="shared" si="13"/>
        <v>3.646611731005537</v>
      </c>
      <c r="F85">
        <f t="shared" si="14"/>
        <v>-20.680962813256368</v>
      </c>
    </row>
    <row r="86" spans="1:6">
      <c r="B86" s="104">
        <f t="shared" si="6"/>
        <v>283</v>
      </c>
      <c r="C86">
        <f t="shared" ref="C86:C94" si="15">$G$48*(SIN(RADIANS(B86)))</f>
        <v>-24.359251619630882</v>
      </c>
      <c r="D86">
        <f t="shared" ref="D86:D94" si="16">$G$48*SIN(RADIANS(B86-90))</f>
        <v>-5.6237763585966247</v>
      </c>
    </row>
    <row r="87" spans="1:6">
      <c r="B87" s="104">
        <f t="shared" si="6"/>
        <v>162.75</v>
      </c>
      <c r="C87">
        <f t="shared" si="15"/>
        <v>7.4135393743892744</v>
      </c>
      <c r="D87">
        <f t="shared" si="16"/>
        <v>23.875498611429666</v>
      </c>
    </row>
    <row r="88" spans="1:6">
      <c r="B88" s="104">
        <f t="shared" si="6"/>
        <v>147</v>
      </c>
      <c r="C88">
        <f t="shared" si="15"/>
        <v>13.615975875375682</v>
      </c>
      <c r="D88">
        <f t="shared" si="16"/>
        <v>20.966764198635602</v>
      </c>
    </row>
    <row r="89" spans="1:6">
      <c r="A89" s="105" t="s">
        <v>202</v>
      </c>
      <c r="B89" s="104">
        <f t="shared" si="6"/>
        <v>128</v>
      </c>
      <c r="C89">
        <f t="shared" si="15"/>
        <v>19.70026884016805</v>
      </c>
      <c r="D89">
        <f t="shared" si="16"/>
        <v>15.391536883141457</v>
      </c>
    </row>
    <row r="90" spans="1:6">
      <c r="B90" s="104">
        <f t="shared" si="6"/>
        <v>107</v>
      </c>
      <c r="C90">
        <f t="shared" si="15"/>
        <v>23.907618899075889</v>
      </c>
      <c r="D90">
        <f t="shared" si="16"/>
        <v>7.3092926180684188</v>
      </c>
    </row>
    <row r="91" spans="1:6">
      <c r="B91" s="104">
        <f t="shared" si="6"/>
        <v>98</v>
      </c>
      <c r="C91">
        <f t="shared" si="15"/>
        <v>24.756701718539258</v>
      </c>
      <c r="D91">
        <f t="shared" si="16"/>
        <v>3.4793275240016359</v>
      </c>
    </row>
    <row r="92" spans="1:6">
      <c r="B92" s="104">
        <f t="shared" si="6"/>
        <v>82</v>
      </c>
      <c r="C92">
        <f t="shared" si="15"/>
        <v>24.756701718539258</v>
      </c>
      <c r="D92">
        <f t="shared" si="16"/>
        <v>-3.4793275240016359</v>
      </c>
    </row>
    <row r="93" spans="1:6">
      <c r="B93" s="104">
        <f t="shared" si="6"/>
        <v>69</v>
      </c>
      <c r="C93">
        <f t="shared" si="15"/>
        <v>23.339510662430044</v>
      </c>
      <c r="D93">
        <f t="shared" si="16"/>
        <v>-8.9591987386325069</v>
      </c>
    </row>
    <row r="94" spans="1:6" ht="13.5" thickBot="1">
      <c r="B94" s="106">
        <f t="shared" si="6"/>
        <v>50</v>
      </c>
      <c r="C94">
        <f t="shared" si="15"/>
        <v>19.151111077974452</v>
      </c>
      <c r="D94">
        <f t="shared" si="16"/>
        <v>-16.069690242163482</v>
      </c>
    </row>
    <row r="95" spans="1:6" ht="13.5" thickTop="1"/>
  </sheetData>
  <phoneticPr fontId="2" type="noConversion"/>
  <pageMargins left="0.75" right="0.75" top="1" bottom="1" header="0.5" footer="0.5"/>
  <pageSetup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I38"/>
  <sheetViews>
    <sheetView topLeftCell="A22" workbookViewId="0">
      <selection activeCell="B4" sqref="B4"/>
    </sheetView>
  </sheetViews>
  <sheetFormatPr defaultRowHeight="12.75"/>
  <cols>
    <col min="1" max="1" width="47" customWidth="1"/>
    <col min="2" max="2" width="10" bestFit="1" customWidth="1"/>
    <col min="3" max="3" width="32.140625" customWidth="1"/>
    <col min="7" max="7" width="3" customWidth="1"/>
    <col min="8" max="8" width="12" customWidth="1"/>
  </cols>
  <sheetData>
    <row r="2" spans="1:9" ht="14.25">
      <c r="A2" s="113" t="s">
        <v>246</v>
      </c>
      <c r="B2">
        <v>0.87</v>
      </c>
    </row>
    <row r="3" spans="1:9">
      <c r="A3" t="s">
        <v>247</v>
      </c>
      <c r="B3">
        <v>0.1</v>
      </c>
    </row>
    <row r="4" spans="1:9" ht="31.5" customHeight="1">
      <c r="A4" s="113" t="s">
        <v>244</v>
      </c>
      <c r="B4">
        <f>B2*B3*9.806*10</f>
        <v>8.5312200000000011</v>
      </c>
      <c r="C4" s="278" t="s">
        <v>251</v>
      </c>
      <c r="D4" s="278"/>
      <c r="E4" s="278"/>
      <c r="F4" s="278"/>
      <c r="G4" s="278"/>
      <c r="H4" s="278"/>
    </row>
    <row r="5" spans="1:9">
      <c r="A5" s="113" t="s">
        <v>245</v>
      </c>
      <c r="B5">
        <f>PI()*B6^2*B4</f>
        <v>6.6469084898555755</v>
      </c>
    </row>
    <row r="6" spans="1:9" ht="20.25">
      <c r="A6" s="113" t="s">
        <v>243</v>
      </c>
      <c r="B6">
        <v>0.498</v>
      </c>
    </row>
    <row r="7" spans="1:9" ht="20.25">
      <c r="A7" s="113" t="s">
        <v>242</v>
      </c>
      <c r="B7">
        <v>0.04</v>
      </c>
    </row>
    <row r="8" spans="1:9" ht="23.25">
      <c r="A8" s="113" t="s">
        <v>258</v>
      </c>
      <c r="B8">
        <v>2E-3</v>
      </c>
    </row>
    <row r="9" spans="1:9" ht="23.25">
      <c r="A9" s="113" t="s">
        <v>259</v>
      </c>
      <c r="B9">
        <f>'mat properties'!B15</f>
        <v>0.38500000000000001</v>
      </c>
    </row>
    <row r="10" spans="1:9" ht="23.25">
      <c r="A10" s="113" t="s">
        <v>263</v>
      </c>
      <c r="B10" s="3">
        <f>'mat properties'!B13*1000000000</f>
        <v>90300000</v>
      </c>
      <c r="F10" s="113" t="s">
        <v>429</v>
      </c>
    </row>
    <row r="11" spans="1:9" ht="23.25">
      <c r="A11" s="113" t="s">
        <v>264</v>
      </c>
      <c r="B11" s="3">
        <v>1000000</v>
      </c>
      <c r="F11" s="113" t="s">
        <v>430</v>
      </c>
      <c r="I11">
        <v>600</v>
      </c>
    </row>
    <row r="12" spans="1:9" ht="23.25">
      <c r="A12" s="113" t="s">
        <v>265</v>
      </c>
      <c r="B12" s="3">
        <v>5.0800000000000002E-5</v>
      </c>
      <c r="F12" s="113" t="s">
        <v>431</v>
      </c>
      <c r="I12">
        <f>(2*I11)/B4</f>
        <v>140.65983528733287</v>
      </c>
    </row>
    <row r="13" spans="1:9" ht="23.25">
      <c r="A13" s="113" t="s">
        <v>266</v>
      </c>
      <c r="B13">
        <v>0.34</v>
      </c>
      <c r="F13" s="113" t="s">
        <v>433</v>
      </c>
      <c r="I13">
        <f>0.996/2</f>
        <v>0.498</v>
      </c>
    </row>
    <row r="14" spans="1:9" ht="23.25">
      <c r="A14" s="113" t="s">
        <v>267</v>
      </c>
      <c r="B14" s="3">
        <v>2500000000</v>
      </c>
      <c r="F14" s="113" t="s">
        <v>432</v>
      </c>
      <c r="I14">
        <f>DEGREES(ASIN(   (I13*B4)/(2*I11)  ))</f>
        <v>0.20285362733132475</v>
      </c>
    </row>
    <row r="15" spans="1:9" ht="23.25">
      <c r="A15" s="113" t="s">
        <v>268</v>
      </c>
      <c r="B15" s="3">
        <v>61000000</v>
      </c>
      <c r="F15" s="113" t="s">
        <v>434</v>
      </c>
      <c r="I15">
        <f>I12*(1-COS(RADIANS(I14)))*1000</f>
        <v>0.88157638131517879</v>
      </c>
    </row>
    <row r="17" spans="1:3" ht="23.25">
      <c r="A17" s="113" t="s">
        <v>260</v>
      </c>
      <c r="B17">
        <f>(B10*B8^3)/(12*(1-B9^2))</f>
        <v>7.0675941416453877E-2</v>
      </c>
    </row>
    <row r="18" spans="1:3" ht="13.5" thickBot="1"/>
    <row r="19" spans="1:3" ht="39" thickTop="1">
      <c r="A19" s="116" t="s">
        <v>261</v>
      </c>
      <c r="B19" s="117"/>
    </row>
    <row r="20" spans="1:3" ht="24" thickBot="1">
      <c r="A20" s="114" t="s">
        <v>262</v>
      </c>
      <c r="B20" s="115">
        <f>((B4*B6^4*(5+B9))/(64*B17*(1+B9)))*1000</f>
        <v>451.03772785670185</v>
      </c>
      <c r="C20" s="113" t="s">
        <v>269</v>
      </c>
    </row>
    <row r="21" spans="1:3" ht="13.5" thickTop="1"/>
    <row r="22" spans="1:3" ht="13.5" thickBot="1"/>
    <row r="23" spans="1:3" ht="26.25" thickTop="1">
      <c r="A23" s="116" t="s">
        <v>270</v>
      </c>
      <c r="B23" s="117"/>
    </row>
    <row r="24" spans="1:3">
      <c r="A24" s="119" t="s">
        <v>252</v>
      </c>
      <c r="B24">
        <v>5.86</v>
      </c>
    </row>
    <row r="25" spans="1:3">
      <c r="A25" s="119" t="s">
        <v>253</v>
      </c>
      <c r="B25">
        <v>3.32</v>
      </c>
    </row>
    <row r="26" spans="1:3">
      <c r="A26" s="119" t="s">
        <v>254</v>
      </c>
      <c r="B26">
        <f>1.238/(1-B9)</f>
        <v>2.013008130081301</v>
      </c>
    </row>
    <row r="27" spans="1:3">
      <c r="A27" s="119" t="s">
        <v>255</v>
      </c>
      <c r="B27">
        <v>0.29399999999999998</v>
      </c>
    </row>
    <row r="28" spans="1:3">
      <c r="A28" s="119" t="s">
        <v>256</v>
      </c>
      <c r="B28" s="3">
        <f>(B4*B6^4)/(B10*B8^4)</f>
        <v>363.17904274431032</v>
      </c>
    </row>
    <row r="29" spans="1:3" ht="23.25">
      <c r="A29" s="119" t="s">
        <v>257</v>
      </c>
      <c r="B29">
        <v>9.3175326136697677E-3</v>
      </c>
    </row>
    <row r="30" spans="1:3">
      <c r="B30">
        <f>((B24*B29)/B8)+((B25*(B29/B8)^3))</f>
        <v>362.99999965579099</v>
      </c>
    </row>
    <row r="31" spans="1:3" ht="13.5" thickBot="1"/>
    <row r="32" spans="1:3" ht="26.25" thickTop="1">
      <c r="A32" s="116" t="s">
        <v>271</v>
      </c>
      <c r="B32" s="117"/>
    </row>
    <row r="33" spans="1:2">
      <c r="A33" s="119" t="s">
        <v>252</v>
      </c>
      <c r="B33">
        <v>0</v>
      </c>
    </row>
    <row r="34" spans="1:2">
      <c r="A34" s="119" t="s">
        <v>253</v>
      </c>
      <c r="B34">
        <v>3.44</v>
      </c>
    </row>
    <row r="35" spans="1:2">
      <c r="A35" s="119" t="s">
        <v>254</v>
      </c>
      <c r="B35">
        <v>0</v>
      </c>
    </row>
    <row r="36" spans="1:2">
      <c r="A36" s="119" t="s">
        <v>255</v>
      </c>
      <c r="B36">
        <v>0.96499999999999997</v>
      </c>
    </row>
    <row r="38" spans="1:2" ht="23.25">
      <c r="A38" s="119" t="s">
        <v>272</v>
      </c>
      <c r="B38">
        <f>((B4*B6^4)/(B25*B14*B12))^0.333333</f>
        <v>1.0756332144021299E-2</v>
      </c>
    </row>
  </sheetData>
  <mergeCells count="1">
    <mergeCell ref="C4:H4"/>
  </mergeCells>
  <phoneticPr fontId="2" type="noConversion"/>
  <pageMargins left="0" right="0" top="0" bottom="0" header="0.5" footer="0.5"/>
  <pageSetup paperSize="17" scale="86" orientation="landscape" r:id="rId1"/>
  <headerFooter alignWithMargins="0"/>
  <legacyDrawing r:id="rId2"/>
  <oleObjects>
    <oleObject progId="Equation.3" shapeId="20481" r:id="rId3"/>
    <oleObject progId="Equation.3" shapeId="20482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3:Z61"/>
  <sheetViews>
    <sheetView topLeftCell="K1" workbookViewId="0">
      <selection activeCell="Z5" sqref="Z5"/>
    </sheetView>
  </sheetViews>
  <sheetFormatPr defaultRowHeight="12.75"/>
  <cols>
    <col min="1" max="1" width="38.85546875" customWidth="1"/>
    <col min="2" max="2" width="13.7109375" customWidth="1"/>
    <col min="3" max="3" width="11.140625" customWidth="1"/>
    <col min="5" max="5" width="12.85546875" customWidth="1"/>
    <col min="6" max="6" width="12.42578125" bestFit="1" customWidth="1"/>
    <col min="7" max="7" width="9.140625" style="4"/>
    <col min="8" max="8" width="10.5703125" customWidth="1"/>
    <col min="10" max="10" width="10.42578125" customWidth="1"/>
    <col min="11" max="11" width="12" customWidth="1"/>
    <col min="12" max="12" width="15.28515625" customWidth="1"/>
    <col min="13" max="14" width="13.28515625" customWidth="1"/>
    <col min="15" max="15" width="8.5703125" customWidth="1"/>
    <col min="16" max="16" width="11.28515625" customWidth="1"/>
    <col min="18" max="19" width="12.42578125" bestFit="1" customWidth="1"/>
  </cols>
  <sheetData>
    <row r="3" spans="1:26" ht="8.25" customHeight="1"/>
    <row r="4" spans="1:26" ht="98.25" customHeight="1">
      <c r="B4" s="118" t="s">
        <v>321</v>
      </c>
      <c r="C4" s="1" t="s">
        <v>0</v>
      </c>
      <c r="D4" s="1" t="s">
        <v>9</v>
      </c>
      <c r="E4" s="1" t="s">
        <v>7</v>
      </c>
      <c r="F4" t="s">
        <v>1</v>
      </c>
      <c r="G4" s="4" t="s">
        <v>2</v>
      </c>
      <c r="H4" s="1" t="s">
        <v>35</v>
      </c>
      <c r="I4" s="1" t="s">
        <v>30</v>
      </c>
      <c r="J4">
        <v>316</v>
      </c>
      <c r="K4" t="s">
        <v>3</v>
      </c>
      <c r="L4" s="1" t="s">
        <v>4</v>
      </c>
      <c r="M4" s="1" t="s">
        <v>10</v>
      </c>
      <c r="N4" s="1" t="s">
        <v>31</v>
      </c>
      <c r="O4" s="118" t="s">
        <v>422</v>
      </c>
      <c r="P4" s="1" t="s">
        <v>58</v>
      </c>
      <c r="Q4" s="120" t="s">
        <v>273</v>
      </c>
      <c r="R4" s="1" t="s">
        <v>45</v>
      </c>
      <c r="S4" s="118" t="s">
        <v>248</v>
      </c>
      <c r="T4" s="118" t="s">
        <v>249</v>
      </c>
      <c r="U4" s="118" t="s">
        <v>250</v>
      </c>
      <c r="V4" s="118" t="s">
        <v>423</v>
      </c>
      <c r="W4" s="1" t="s">
        <v>85</v>
      </c>
      <c r="X4" s="1" t="s">
        <v>86</v>
      </c>
      <c r="Y4" s="203" t="s">
        <v>518</v>
      </c>
      <c r="Z4" s="203" t="s">
        <v>572</v>
      </c>
    </row>
    <row r="5" spans="1:26" ht="14.25">
      <c r="A5" t="s">
        <v>8</v>
      </c>
      <c r="B5">
        <v>3.2000000000000001E-2</v>
      </c>
      <c r="C5">
        <v>1.42</v>
      </c>
      <c r="D5">
        <v>1.9</v>
      </c>
      <c r="F5">
        <v>11.34</v>
      </c>
      <c r="G5" s="4">
        <v>8.9600000000000009</v>
      </c>
      <c r="H5">
        <v>2.73</v>
      </c>
      <c r="J5">
        <v>8</v>
      </c>
      <c r="M5">
        <v>1.552</v>
      </c>
      <c r="N5">
        <v>19.3</v>
      </c>
      <c r="P5">
        <v>1</v>
      </c>
      <c r="Q5">
        <v>1.73</v>
      </c>
      <c r="R5">
        <v>0.78900000000000003</v>
      </c>
      <c r="S5">
        <v>1.1999999999999999E-3</v>
      </c>
      <c r="T5">
        <v>1.6999999999999999E-3</v>
      </c>
      <c r="U5">
        <v>1.8E-3</v>
      </c>
      <c r="V5">
        <v>0.87</v>
      </c>
      <c r="Y5">
        <v>7.87</v>
      </c>
    </row>
    <row r="6" spans="1:26">
      <c r="A6" t="s">
        <v>28</v>
      </c>
      <c r="B6">
        <v>2.74</v>
      </c>
      <c r="C6">
        <v>61</v>
      </c>
      <c r="D6">
        <v>262</v>
      </c>
      <c r="F6">
        <v>18</v>
      </c>
      <c r="G6" s="4">
        <v>210</v>
      </c>
      <c r="H6">
        <v>152</v>
      </c>
      <c r="J6">
        <v>580</v>
      </c>
    </row>
    <row r="7" spans="1:26">
      <c r="A7" t="s">
        <v>29</v>
      </c>
      <c r="G7" s="4">
        <v>33.299999999999997</v>
      </c>
      <c r="H7">
        <v>145</v>
      </c>
      <c r="J7">
        <v>290</v>
      </c>
      <c r="N7">
        <v>450</v>
      </c>
    </row>
    <row r="10" spans="1:26">
      <c r="A10" t="s">
        <v>36</v>
      </c>
      <c r="H10">
        <v>62.1</v>
      </c>
    </row>
    <row r="12" spans="1:26">
      <c r="A12" t="s">
        <v>17</v>
      </c>
      <c r="B12">
        <v>4.5</v>
      </c>
      <c r="G12" s="4">
        <v>60</v>
      </c>
      <c r="H12">
        <v>8</v>
      </c>
      <c r="J12">
        <v>50</v>
      </c>
    </row>
    <row r="13" spans="1:26">
      <c r="A13" t="s">
        <v>18</v>
      </c>
      <c r="B13">
        <v>9.0300000000000005E-2</v>
      </c>
      <c r="C13">
        <v>2.5</v>
      </c>
      <c r="D13">
        <v>16.5</v>
      </c>
      <c r="F13">
        <v>14</v>
      </c>
      <c r="G13" s="4">
        <v>110</v>
      </c>
      <c r="H13">
        <v>68.900000000000006</v>
      </c>
      <c r="J13">
        <v>193</v>
      </c>
      <c r="N13">
        <v>268</v>
      </c>
      <c r="O13">
        <v>124</v>
      </c>
    </row>
    <row r="14" spans="1:26">
      <c r="A14" t="s">
        <v>25</v>
      </c>
      <c r="G14" s="4">
        <v>140</v>
      </c>
    </row>
    <row r="15" spans="1:26">
      <c r="A15" t="s">
        <v>26</v>
      </c>
      <c r="B15">
        <v>0.38500000000000001</v>
      </c>
      <c r="C15">
        <v>0.34</v>
      </c>
      <c r="F15">
        <v>0.42</v>
      </c>
      <c r="G15" s="4">
        <v>0.34300000000000003</v>
      </c>
      <c r="H15">
        <v>0.33</v>
      </c>
      <c r="J15">
        <v>0.3</v>
      </c>
      <c r="N15">
        <v>0.28000000000000003</v>
      </c>
    </row>
    <row r="16" spans="1:26">
      <c r="A16" t="s">
        <v>19</v>
      </c>
      <c r="B16">
        <v>2.4500000000000002</v>
      </c>
      <c r="D16">
        <v>448</v>
      </c>
    </row>
    <row r="17" spans="1:24">
      <c r="A17" t="s">
        <v>20</v>
      </c>
      <c r="B17">
        <v>1.47</v>
      </c>
      <c r="D17">
        <v>448</v>
      </c>
    </row>
    <row r="18" spans="1:24">
      <c r="A18" t="s">
        <v>21</v>
      </c>
      <c r="B18">
        <v>2.8400000000000002E-2</v>
      </c>
      <c r="G18" s="4">
        <v>46</v>
      </c>
      <c r="H18">
        <v>25</v>
      </c>
      <c r="N18">
        <v>156</v>
      </c>
    </row>
    <row r="19" spans="1:24">
      <c r="A19" t="s">
        <v>22</v>
      </c>
      <c r="B19">
        <v>1.28</v>
      </c>
      <c r="H19">
        <v>96.5</v>
      </c>
    </row>
    <row r="20" spans="1:24" ht="14.25">
      <c r="A20" t="s">
        <v>23</v>
      </c>
      <c r="B20" s="3">
        <v>3.0000000000000001E-5</v>
      </c>
      <c r="D20" s="3">
        <v>9.9000000000000001E-6</v>
      </c>
      <c r="F20" s="3">
        <v>2.9099999999999999E-5</v>
      </c>
      <c r="G20" s="5">
        <v>1.6399999999999999E-5</v>
      </c>
      <c r="H20" s="3">
        <v>2.55E-5</v>
      </c>
      <c r="J20" s="3">
        <v>1.5999999999999999E-5</v>
      </c>
      <c r="N20" s="3">
        <v>4.4000000000000002E-6</v>
      </c>
    </row>
    <row r="21" spans="1:24" ht="14.25">
      <c r="A21" t="s">
        <v>60</v>
      </c>
      <c r="B21">
        <v>0.03</v>
      </c>
      <c r="D21">
        <v>0.28799999999999998</v>
      </c>
      <c r="F21">
        <v>33</v>
      </c>
      <c r="G21" s="4">
        <v>385</v>
      </c>
      <c r="H21">
        <v>159</v>
      </c>
      <c r="J21">
        <v>16.3</v>
      </c>
      <c r="N21">
        <v>163.30000000000001</v>
      </c>
      <c r="P21">
        <v>0.59699999999999998</v>
      </c>
      <c r="Q21">
        <v>0.06</v>
      </c>
      <c r="R21">
        <v>0.16900000000000001</v>
      </c>
      <c r="S21">
        <v>2.5700000000000001E-2</v>
      </c>
      <c r="W21">
        <v>1</v>
      </c>
      <c r="X21">
        <v>0.8</v>
      </c>
    </row>
    <row r="22" spans="1:24" ht="21">
      <c r="A22" t="s">
        <v>59</v>
      </c>
      <c r="F22">
        <v>0.129</v>
      </c>
      <c r="G22" s="4">
        <v>0.38500000000000001</v>
      </c>
      <c r="H22">
        <v>0.89300000000000002</v>
      </c>
      <c r="J22">
        <v>0.5</v>
      </c>
      <c r="N22">
        <v>0.13400000000000001</v>
      </c>
      <c r="P22">
        <v>4.1813000000000002</v>
      </c>
      <c r="Q22">
        <v>1.1000000000000001</v>
      </c>
      <c r="R22">
        <v>2.44</v>
      </c>
      <c r="S22">
        <v>1.0056</v>
      </c>
    </row>
    <row r="23" spans="1:24" ht="14.25">
      <c r="A23" t="s">
        <v>34</v>
      </c>
      <c r="B23" s="3" t="e">
        <f t="shared" ref="B23:Q23" si="0">B21/(B5*B22*1000000)</f>
        <v>#DIV/0!</v>
      </c>
      <c r="C23" s="3" t="e">
        <f t="shared" si="0"/>
        <v>#DIV/0!</v>
      </c>
      <c r="D23" s="3" t="e">
        <f t="shared" si="0"/>
        <v>#DIV/0!</v>
      </c>
      <c r="E23" s="3" t="e">
        <f t="shared" si="0"/>
        <v>#DIV/0!</v>
      </c>
      <c r="F23" s="3">
        <f t="shared" si="0"/>
        <v>2.2558549690332636E-5</v>
      </c>
      <c r="G23" s="3">
        <f t="shared" si="0"/>
        <v>1.1160714285714285E-4</v>
      </c>
      <c r="H23" s="3">
        <f t="shared" si="0"/>
        <v>6.5220333977332852E-5</v>
      </c>
      <c r="I23" s="3" t="e">
        <f t="shared" si="0"/>
        <v>#DIV/0!</v>
      </c>
      <c r="J23" s="3">
        <f t="shared" si="0"/>
        <v>4.0749999999999999E-6</v>
      </c>
      <c r="K23" s="3" t="e">
        <f t="shared" si="0"/>
        <v>#DIV/0!</v>
      </c>
      <c r="L23" s="3" t="e">
        <f t="shared" si="0"/>
        <v>#DIV/0!</v>
      </c>
      <c r="M23" s="3" t="e">
        <f t="shared" si="0"/>
        <v>#DIV/0!</v>
      </c>
      <c r="N23" s="3">
        <f t="shared" si="0"/>
        <v>6.3142835047560124E-5</v>
      </c>
      <c r="O23" s="3" t="e">
        <f t="shared" si="0"/>
        <v>#DIV/0!</v>
      </c>
      <c r="P23" s="3">
        <f t="shared" si="0"/>
        <v>1.4277856169133999E-7</v>
      </c>
      <c r="Q23" s="3">
        <f t="shared" si="0"/>
        <v>3.1529164477141352E-8</v>
      </c>
    </row>
    <row r="24" spans="1:24" ht="18">
      <c r="A24" t="s">
        <v>56</v>
      </c>
      <c r="P24" s="3">
        <v>1.0020000000000001E-3</v>
      </c>
      <c r="Q24" s="3">
        <f>Q25*Q5*1000</f>
        <v>9.5149999999999998E-4</v>
      </c>
      <c r="R24" s="3">
        <v>1.0740000000000001E-3</v>
      </c>
      <c r="S24" s="3">
        <v>1.7960000000000001E-5</v>
      </c>
      <c r="T24" s="3">
        <v>1.8E-5</v>
      </c>
      <c r="U24" s="3">
        <v>2.1999999999999999E-5</v>
      </c>
    </row>
    <row r="25" spans="1:24" ht="20.25">
      <c r="A25" t="s">
        <v>57</v>
      </c>
      <c r="P25" s="3">
        <v>1.006E-6</v>
      </c>
      <c r="Q25" s="3">
        <v>5.5000000000000003E-7</v>
      </c>
      <c r="R25">
        <f>R24/(1000*R5)</f>
        <v>1.361216730038023E-6</v>
      </c>
      <c r="S25" s="3">
        <v>1.4810000000000001E-5</v>
      </c>
    </row>
    <row r="26" spans="1:24" ht="18">
      <c r="A26" t="s">
        <v>61</v>
      </c>
      <c r="P26" s="3">
        <v>7.02</v>
      </c>
      <c r="Q26">
        <f>(1000*Q24*Q22)/Q21</f>
        <v>17.444166666666668</v>
      </c>
      <c r="R26">
        <f>(1000*R24*R22)/R21</f>
        <v>15.506272189349113</v>
      </c>
      <c r="S26">
        <v>0.71</v>
      </c>
    </row>
    <row r="28" spans="1:24">
      <c r="A28" t="s">
        <v>27</v>
      </c>
    </row>
    <row r="29" spans="1:24" ht="14.25">
      <c r="A29" t="s">
        <v>24</v>
      </c>
      <c r="F29">
        <v>0.05</v>
      </c>
      <c r="G29" s="4">
        <v>0.15</v>
      </c>
      <c r="N29">
        <v>0.15</v>
      </c>
    </row>
    <row r="30" spans="1:24">
      <c r="A30" t="s">
        <v>12</v>
      </c>
      <c r="B30">
        <v>180</v>
      </c>
      <c r="C30" s="2"/>
    </row>
    <row r="31" spans="1:24">
      <c r="A31" t="s">
        <v>13</v>
      </c>
      <c r="B31">
        <v>1.2</v>
      </c>
    </row>
    <row r="32" spans="1:24">
      <c r="A32" t="s">
        <v>14</v>
      </c>
      <c r="B32">
        <v>2.4</v>
      </c>
    </row>
    <row r="33" spans="1:4">
      <c r="A33" t="s">
        <v>15</v>
      </c>
      <c r="B33">
        <v>3.6</v>
      </c>
    </row>
    <row r="34" spans="1:4">
      <c r="A34" t="s">
        <v>11</v>
      </c>
      <c r="B34">
        <v>4.3</v>
      </c>
    </row>
    <row r="35" spans="1:4">
      <c r="A35" t="s">
        <v>32</v>
      </c>
      <c r="B35">
        <v>15.5</v>
      </c>
    </row>
    <row r="36" spans="1:4">
      <c r="A36" t="s">
        <v>16</v>
      </c>
      <c r="B36">
        <v>16</v>
      </c>
      <c r="D36">
        <v>0.1</v>
      </c>
    </row>
    <row r="37" spans="1:4">
      <c r="B37">
        <v>3</v>
      </c>
    </row>
    <row r="38" spans="1:4">
      <c r="A38" t="s">
        <v>5</v>
      </c>
    </row>
    <row r="39" spans="1:4">
      <c r="A39" t="s">
        <v>6</v>
      </c>
    </row>
    <row r="41" spans="1:4" ht="18.75" thickBot="1">
      <c r="A41" s="73" t="s">
        <v>330</v>
      </c>
    </row>
    <row r="42" spans="1:4" ht="15" thickTop="1">
      <c r="A42" s="125" t="s">
        <v>336</v>
      </c>
      <c r="B42" s="145">
        <v>8.3150000000000002E-2</v>
      </c>
    </row>
    <row r="43" spans="1:4" ht="25.5">
      <c r="A43" s="183" t="s">
        <v>454</v>
      </c>
      <c r="B43" s="41">
        <v>8.5300000000000001E-2</v>
      </c>
    </row>
    <row r="44" spans="1:4">
      <c r="A44" s="184" t="s">
        <v>455</v>
      </c>
      <c r="B44" s="41">
        <v>1010</v>
      </c>
    </row>
    <row r="45" spans="1:4">
      <c r="A45" s="184" t="s">
        <v>456</v>
      </c>
      <c r="B45" s="41">
        <f>B44+B43</f>
        <v>1010.0853</v>
      </c>
      <c r="C45" s="113" t="s">
        <v>457</v>
      </c>
    </row>
    <row r="46" spans="1:4" ht="14.25">
      <c r="A46" s="146" t="s">
        <v>333</v>
      </c>
      <c r="B46" s="41">
        <v>293</v>
      </c>
    </row>
    <row r="47" spans="1:4">
      <c r="A47" s="146" t="s">
        <v>334</v>
      </c>
      <c r="B47" s="41">
        <v>39.94</v>
      </c>
    </row>
    <row r="48" spans="1:4" ht="15.75">
      <c r="A48" s="146" t="s">
        <v>335</v>
      </c>
      <c r="B48" s="41">
        <v>44.01</v>
      </c>
    </row>
    <row r="49" spans="1:2">
      <c r="A49" s="128" t="s">
        <v>331</v>
      </c>
      <c r="B49" s="147">
        <v>0.4</v>
      </c>
    </row>
    <row r="50" spans="1:2">
      <c r="A50" s="128" t="s">
        <v>332</v>
      </c>
      <c r="B50" s="147">
        <v>0.6</v>
      </c>
    </row>
    <row r="51" spans="1:2" ht="18.75">
      <c r="A51" s="146" t="s">
        <v>337</v>
      </c>
      <c r="B51" s="41">
        <f>((B49*U5)/B47)/(  ((B49*U5)/B47)+((B50*T5)/B48))</f>
        <v>0.4375113909369564</v>
      </c>
    </row>
    <row r="52" spans="1:2" ht="21">
      <c r="A52" s="146" t="s">
        <v>338</v>
      </c>
      <c r="B52" s="41">
        <f>((B50*T5)/B48)/(  ((B50*T5)/B48)+((B49*U5)/B47))</f>
        <v>0.56248860906304354</v>
      </c>
    </row>
    <row r="53" spans="1:2">
      <c r="A53" s="146" t="s">
        <v>458</v>
      </c>
      <c r="B53" s="41">
        <f>(B51*B47)+(B52*B48)</f>
        <v>42.229328638886585</v>
      </c>
    </row>
    <row r="54" spans="1:2" ht="21">
      <c r="A54" s="146" t="s">
        <v>341</v>
      </c>
      <c r="B54" s="41">
        <f>B42/B53</f>
        <v>1.9690107013312047E-3</v>
      </c>
    </row>
    <row r="55" spans="1:2" ht="18">
      <c r="A55" s="146" t="s">
        <v>340</v>
      </c>
      <c r="B55" s="41">
        <f>(B49*U5)+(B50*T5)</f>
        <v>1.7399999999999998E-3</v>
      </c>
    </row>
    <row r="56" spans="1:2" ht="18.75" thickBot="1">
      <c r="A56" s="148" t="s">
        <v>339</v>
      </c>
      <c r="B56" s="42">
        <f>(B51*U24*(B47^0.5)+  B52*T24*(B48^0.5)          )       /              (B51*(B47^0.5) + B52*(B48^0.5))</f>
        <v>1.9702437805935607E-5</v>
      </c>
    </row>
    <row r="57" spans="1:2" ht="15" thickTop="1">
      <c r="A57" s="149" t="s">
        <v>342</v>
      </c>
      <c r="B57" s="150">
        <v>1.6299999999999999E-2</v>
      </c>
    </row>
    <row r="58" spans="1:2">
      <c r="A58" s="151" t="s">
        <v>343</v>
      </c>
      <c r="B58" s="152">
        <v>6</v>
      </c>
    </row>
    <row r="59" spans="1:2">
      <c r="A59" s="151" t="s">
        <v>344</v>
      </c>
      <c r="B59" s="150">
        <f>B58*B57</f>
        <v>9.7799999999999998E-2</v>
      </c>
    </row>
    <row r="60" spans="1:2" ht="14.25">
      <c r="A60" s="151" t="s">
        <v>394</v>
      </c>
      <c r="B60" s="150">
        <f>B59/24</f>
        <v>4.0749999999999996E-3</v>
      </c>
    </row>
    <row r="61" spans="1:2" ht="14.25">
      <c r="A61" s="151" t="s">
        <v>395</v>
      </c>
      <c r="B61" s="3">
        <f>(24*B57*B58)/24</f>
        <v>9.7799999999999998E-2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2:E8"/>
  <sheetViews>
    <sheetView workbookViewId="0">
      <selection activeCell="C2" sqref="C2"/>
    </sheetView>
  </sheetViews>
  <sheetFormatPr defaultRowHeight="12.75"/>
  <cols>
    <col min="1" max="1" width="24.42578125" customWidth="1"/>
  </cols>
  <sheetData>
    <row r="2" spans="1:5">
      <c r="B2" s="113" t="s">
        <v>282</v>
      </c>
      <c r="C2" s="113" t="s">
        <v>283</v>
      </c>
    </row>
    <row r="3" spans="1:5">
      <c r="A3" s="113" t="s">
        <v>275</v>
      </c>
      <c r="B3">
        <v>1</v>
      </c>
      <c r="D3">
        <v>5200</v>
      </c>
      <c r="E3" s="113" t="s">
        <v>276</v>
      </c>
    </row>
    <row r="4" spans="1:5">
      <c r="A4" s="113" t="s">
        <v>277</v>
      </c>
      <c r="B4">
        <v>24</v>
      </c>
    </row>
    <row r="5" spans="1:5">
      <c r="A5" s="113" t="s">
        <v>278</v>
      </c>
    </row>
    <row r="6" spans="1:5">
      <c r="A6" s="113" t="s">
        <v>279</v>
      </c>
    </row>
    <row r="7" spans="1:5">
      <c r="A7" s="113" t="s">
        <v>280</v>
      </c>
    </row>
    <row r="8" spans="1:5">
      <c r="A8" s="113" t="s">
        <v>281</v>
      </c>
      <c r="B8">
        <v>528</v>
      </c>
    </row>
  </sheetData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2:B6"/>
  <sheetViews>
    <sheetView workbookViewId="0">
      <selection activeCell="A7" sqref="A7"/>
    </sheetView>
  </sheetViews>
  <sheetFormatPr defaultRowHeight="12.75"/>
  <cols>
    <col min="1" max="1" width="17.85546875" customWidth="1"/>
  </cols>
  <sheetData>
    <row r="2" spans="1:2">
      <c r="A2" t="s">
        <v>112</v>
      </c>
    </row>
    <row r="4" spans="1:2">
      <c r="A4" t="s">
        <v>113</v>
      </c>
    </row>
    <row r="6" spans="1:2">
      <c r="A6" t="s">
        <v>114</v>
      </c>
      <c r="B6">
        <v>3670</v>
      </c>
    </row>
  </sheetData>
  <phoneticPr fontId="2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3:J30"/>
  <sheetViews>
    <sheetView workbookViewId="0">
      <selection activeCell="J20" sqref="J20"/>
    </sheetView>
  </sheetViews>
  <sheetFormatPr defaultRowHeight="12.75"/>
  <cols>
    <col min="1" max="1" width="29.5703125" customWidth="1"/>
    <col min="2" max="2" width="12.42578125" bestFit="1" customWidth="1"/>
    <col min="3" max="3" width="10" bestFit="1" customWidth="1"/>
    <col min="5" max="5" width="10" bestFit="1" customWidth="1"/>
    <col min="6" max="6" width="20.7109375" customWidth="1"/>
    <col min="8" max="8" width="22" customWidth="1"/>
    <col min="10" max="10" width="14.28515625" customWidth="1"/>
  </cols>
  <sheetData>
    <row r="3" spans="1:10" ht="13.5" thickBot="1"/>
    <row r="4" spans="1:10" ht="13.5" thickTop="1">
      <c r="A4" t="s">
        <v>160</v>
      </c>
      <c r="F4" s="125" t="s">
        <v>298</v>
      </c>
      <c r="G4" s="126" t="s">
        <v>299</v>
      </c>
      <c r="H4" s="126" t="s">
        <v>294</v>
      </c>
      <c r="I4" s="126" t="s">
        <v>295</v>
      </c>
      <c r="J4" s="127" t="s">
        <v>297</v>
      </c>
    </row>
    <row r="5" spans="1:10" ht="14.25">
      <c r="A5" t="s">
        <v>169</v>
      </c>
      <c r="B5" s="4">
        <f>'mat properties'!M5</f>
        <v>1.552</v>
      </c>
      <c r="F5" s="128" t="s">
        <v>292</v>
      </c>
      <c r="G5" s="129">
        <f>B10*B8*B5*1000</f>
        <v>4.6030052261210971E-2</v>
      </c>
      <c r="H5" s="16">
        <v>4</v>
      </c>
      <c r="I5" s="16">
        <f>H5*G5</f>
        <v>0.18412020904484389</v>
      </c>
      <c r="J5" s="41">
        <f>(I5/$I$9)*100</f>
        <v>5.7358263781312679</v>
      </c>
    </row>
    <row r="6" spans="1:10" ht="18.75">
      <c r="A6" t="s">
        <v>167</v>
      </c>
      <c r="B6" s="4">
        <v>1.7780000000000001E-2</v>
      </c>
      <c r="C6" s="121">
        <f>B6*39.37</f>
        <v>0.69999860000000003</v>
      </c>
      <c r="D6" s="113" t="s">
        <v>274</v>
      </c>
      <c r="F6" s="128" t="s">
        <v>288</v>
      </c>
      <c r="G6" s="129">
        <f>B27*B5*1000</f>
        <v>2.2661421693433805</v>
      </c>
      <c r="H6" s="16">
        <v>1</v>
      </c>
      <c r="I6" s="16">
        <f t="shared" ref="I6:I8" si="0">H6*G6</f>
        <v>2.2661421693433805</v>
      </c>
      <c r="J6" s="41">
        <f t="shared" ref="J6:J8" si="1">(I6/$I$9)*100</f>
        <v>70.596259361999557</v>
      </c>
    </row>
    <row r="7" spans="1:10" ht="18.75">
      <c r="A7" t="s">
        <v>166</v>
      </c>
      <c r="B7" s="4">
        <v>1.5875E-2</v>
      </c>
      <c r="C7" s="121">
        <f>B7*39.37</f>
        <v>0.62499874999999994</v>
      </c>
      <c r="D7" s="113" t="s">
        <v>274</v>
      </c>
      <c r="F7" s="128" t="s">
        <v>289</v>
      </c>
      <c r="G7" s="129">
        <v>1.0500000000000001E-2</v>
      </c>
      <c r="H7" s="16">
        <v>8</v>
      </c>
      <c r="I7" s="16">
        <f t="shared" si="0"/>
        <v>8.4000000000000005E-2</v>
      </c>
      <c r="J7" s="41">
        <f t="shared" si="1"/>
        <v>2.6168198388568968</v>
      </c>
    </row>
    <row r="8" spans="1:10" ht="16.5" thickBot="1">
      <c r="A8" t="s">
        <v>165</v>
      </c>
      <c r="B8" s="4">
        <v>0.58899999999999997</v>
      </c>
      <c r="F8" s="130" t="s">
        <v>291</v>
      </c>
      <c r="G8" s="131">
        <f>(B28*B5)/1000</f>
        <v>0.33787040000000002</v>
      </c>
      <c r="H8" s="22">
        <v>2</v>
      </c>
      <c r="I8" s="22">
        <f t="shared" si="0"/>
        <v>0.67574080000000003</v>
      </c>
      <c r="J8" s="42">
        <f t="shared" si="1"/>
        <v>21.051094421012266</v>
      </c>
    </row>
    <row r="9" spans="1:10" ht="17.25" thickTop="1" thickBot="1">
      <c r="A9" t="s">
        <v>164</v>
      </c>
      <c r="B9" s="5">
        <v>55120000000</v>
      </c>
      <c r="H9" s="134" t="s">
        <v>296</v>
      </c>
      <c r="I9" s="135">
        <f>SUM(I5:I8)</f>
        <v>3.2100031783882246</v>
      </c>
    </row>
    <row r="10" spans="1:10" ht="16.5" thickTop="1">
      <c r="A10" t="s">
        <v>163</v>
      </c>
      <c r="B10" s="4">
        <f>(PI()/4)*(B6^2-B7^2)</f>
        <v>5.0354055735313845E-5</v>
      </c>
    </row>
    <row r="12" spans="1:10" ht="27.75">
      <c r="A12" t="s">
        <v>161</v>
      </c>
      <c r="B12" s="4">
        <f>(PI()/64)*(B6^4-B7^4)</f>
        <v>1.7880222437834716E-9</v>
      </c>
      <c r="F12" s="118" t="s">
        <v>304</v>
      </c>
      <c r="G12">
        <v>0.41</v>
      </c>
      <c r="H12" s="113" t="s">
        <v>302</v>
      </c>
    </row>
    <row r="13" spans="1:10" ht="15.75">
      <c r="A13" t="s">
        <v>162</v>
      </c>
      <c r="B13" s="4">
        <v>1</v>
      </c>
      <c r="F13" s="113" t="s">
        <v>305</v>
      </c>
      <c r="G13">
        <f>(G12*(3.2808^2))/2.205</f>
        <v>2.0014040555102039</v>
      </c>
    </row>
    <row r="14" spans="1:10" ht="14.25">
      <c r="A14" t="s">
        <v>172</v>
      </c>
      <c r="B14" s="5">
        <v>413400000</v>
      </c>
      <c r="C14" s="3">
        <f>B14/6890</f>
        <v>60000</v>
      </c>
      <c r="F14" s="113" t="s">
        <v>306</v>
      </c>
      <c r="G14">
        <f>B30</f>
        <v>1.461566291822233</v>
      </c>
    </row>
    <row r="15" spans="1:10">
      <c r="A15" t="s">
        <v>174</v>
      </c>
      <c r="F15" s="132" t="s">
        <v>303</v>
      </c>
      <c r="G15" s="133">
        <f>G14*G13</f>
        <v>2.9251847038500274</v>
      </c>
    </row>
    <row r="16" spans="1:10">
      <c r="A16" t="s">
        <v>168</v>
      </c>
      <c r="B16" s="3">
        <f>(B13*(PI())^2*B9*B12)/(B8^2*B10)</f>
        <v>55682256.396259055</v>
      </c>
      <c r="C16" s="3">
        <f>B16/6890</f>
        <v>8081.6047019243915</v>
      </c>
      <c r="D16" t="s">
        <v>170</v>
      </c>
    </row>
    <row r="17" spans="1:4">
      <c r="A17" t="s">
        <v>171</v>
      </c>
      <c r="B17">
        <f>B16*B10</f>
        <v>2803.8274420452644</v>
      </c>
      <c r="C17" s="63">
        <f>B17*0.2248</f>
        <v>630.30040897177548</v>
      </c>
      <c r="D17" t="s">
        <v>176</v>
      </c>
    </row>
    <row r="18" spans="1:4">
      <c r="A18" t="s">
        <v>173</v>
      </c>
      <c r="B18" s="3">
        <f>B14*B10</f>
        <v>20816.366640978744</v>
      </c>
      <c r="C18" s="63">
        <f>B18*0.2248</f>
        <v>4679.5192208920216</v>
      </c>
      <c r="D18" t="s">
        <v>176</v>
      </c>
    </row>
    <row r="19" spans="1:4">
      <c r="A19" t="s">
        <v>175</v>
      </c>
      <c r="B19" s="3">
        <f>B18/10</f>
        <v>2081.6366640978745</v>
      </c>
      <c r="C19" s="63">
        <f>B19*0.2248</f>
        <v>467.95192208920218</v>
      </c>
      <c r="D19" t="s">
        <v>176</v>
      </c>
    </row>
    <row r="20" spans="1:4">
      <c r="A20" t="s">
        <v>177</v>
      </c>
      <c r="B20">
        <v>2000</v>
      </c>
    </row>
    <row r="21" spans="1:4">
      <c r="A21" t="s">
        <v>178</v>
      </c>
      <c r="B21">
        <v>7000</v>
      </c>
    </row>
    <row r="23" spans="1:4">
      <c r="A23" s="113" t="s">
        <v>286</v>
      </c>
      <c r="B23">
        <v>1.0249999999999999</v>
      </c>
    </row>
    <row r="24" spans="1:4">
      <c r="A24" s="113" t="s">
        <v>284</v>
      </c>
      <c r="B24">
        <v>1.0269999999999999</v>
      </c>
    </row>
    <row r="25" spans="1:4">
      <c r="A25" s="113" t="s">
        <v>285</v>
      </c>
      <c r="B25">
        <v>0.45300000000000001</v>
      </c>
    </row>
    <row r="26" spans="1:4">
      <c r="A26" s="113" t="s">
        <v>287</v>
      </c>
      <c r="B26" s="78">
        <f>(PI()/4)*(B24^2-B23^2)</f>
        <v>3.2232740625830376E-3</v>
      </c>
    </row>
    <row r="27" spans="1:4">
      <c r="A27" s="113" t="s">
        <v>293</v>
      </c>
      <c r="B27">
        <f>B26*B25</f>
        <v>1.4601431503501162E-3</v>
      </c>
    </row>
    <row r="28" spans="1:4">
      <c r="A28" s="113" t="s">
        <v>290</v>
      </c>
      <c r="B28">
        <v>217.7</v>
      </c>
    </row>
    <row r="29" spans="1:4">
      <c r="A29" s="113" t="s">
        <v>300</v>
      </c>
      <c r="B29">
        <f>PI()*B24</f>
        <v>3.2264156552367171</v>
      </c>
    </row>
    <row r="30" spans="1:4">
      <c r="A30" s="113" t="s">
        <v>301</v>
      </c>
      <c r="B30">
        <f>B29*B25</f>
        <v>1.461566291822233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34"/>
  <sheetViews>
    <sheetView workbookViewId="0">
      <selection activeCell="B33" sqref="B33"/>
    </sheetView>
  </sheetViews>
  <sheetFormatPr defaultRowHeight="12.75"/>
  <cols>
    <col min="1" max="1" width="29.5703125" customWidth="1"/>
    <col min="6" max="6" width="16.140625" customWidth="1"/>
  </cols>
  <sheetData>
    <row r="1" spans="1:7" ht="13.5" thickBot="1">
      <c r="A1" t="s">
        <v>111</v>
      </c>
      <c r="B1">
        <f>thermal_fdc!B2</f>
        <v>2.0699999999999998</v>
      </c>
    </row>
    <row r="2" spans="1:7" ht="13.5" thickTop="1">
      <c r="A2" s="57" t="s">
        <v>117</v>
      </c>
      <c r="B2" s="58"/>
    </row>
    <row r="3" spans="1:7">
      <c r="A3" s="59" t="s">
        <v>106</v>
      </c>
      <c r="B3" s="60">
        <v>768</v>
      </c>
    </row>
    <row r="4" spans="1:7">
      <c r="A4" s="59" t="s">
        <v>107</v>
      </c>
      <c r="B4" s="60">
        <v>36</v>
      </c>
    </row>
    <row r="5" spans="1:7">
      <c r="A5" s="59" t="s">
        <v>109</v>
      </c>
      <c r="B5" s="60">
        <v>5.0000000000000001E-3</v>
      </c>
    </row>
    <row r="6" spans="1:7">
      <c r="A6" s="59" t="s">
        <v>108</v>
      </c>
      <c r="B6" s="60">
        <f>B5*25.4</f>
        <v>0.127</v>
      </c>
    </row>
    <row r="7" spans="1:7" ht="14.25">
      <c r="A7" s="59" t="s">
        <v>120</v>
      </c>
      <c r="B7" s="60">
        <f>(PI()/4)*(B6^2)</f>
        <v>1.2667686977437444E-2</v>
      </c>
    </row>
    <row r="8" spans="1:7" ht="15" thickBot="1">
      <c r="A8" s="61" t="s">
        <v>119</v>
      </c>
      <c r="B8" s="62">
        <f>B7*B3</f>
        <v>9.7287835986719564</v>
      </c>
    </row>
    <row r="9" spans="1:7" ht="15" thickTop="1">
      <c r="A9" t="s">
        <v>60</v>
      </c>
      <c r="B9">
        <v>350</v>
      </c>
    </row>
    <row r="10" spans="1:7">
      <c r="A10" t="s">
        <v>110</v>
      </c>
      <c r="B10">
        <v>76</v>
      </c>
    </row>
    <row r="11" spans="1:7" ht="14.25">
      <c r="A11" t="s">
        <v>118</v>
      </c>
      <c r="B11">
        <f>(B1*B10*1000)/(B9*B8)</f>
        <v>46.201635561826258</v>
      </c>
      <c r="C11" t="s">
        <v>121</v>
      </c>
      <c r="F11" t="s">
        <v>124</v>
      </c>
    </row>
    <row r="12" spans="1:7">
      <c r="A12" t="s">
        <v>128</v>
      </c>
      <c r="B12">
        <v>64</v>
      </c>
    </row>
    <row r="13" spans="1:7">
      <c r="A13" t="s">
        <v>122</v>
      </c>
      <c r="B13">
        <v>132</v>
      </c>
      <c r="F13" t="s">
        <v>125</v>
      </c>
      <c r="G13">
        <f>PI()*(60.076^2-60^2)*12.5</f>
        <v>358.36838549882009</v>
      </c>
    </row>
    <row r="14" spans="1:7">
      <c r="A14" t="s">
        <v>123</v>
      </c>
      <c r="B14">
        <f>((B13*B10)/(25.4*12*1000))*B12</f>
        <v>2.1064566929133863</v>
      </c>
      <c r="F14" t="s">
        <v>100</v>
      </c>
      <c r="G14">
        <v>5.97</v>
      </c>
    </row>
    <row r="15" spans="1:7">
      <c r="A15" s="71" t="s">
        <v>143</v>
      </c>
      <c r="B15" s="71">
        <f>B14/2.205</f>
        <v>0.95530915778384862</v>
      </c>
      <c r="C15" s="71" t="s">
        <v>129</v>
      </c>
      <c r="D15" s="71"/>
      <c r="E15" s="71"/>
      <c r="F15" s="71" t="s">
        <v>126</v>
      </c>
      <c r="G15" s="71">
        <f>(G14*G13)/1000</f>
        <v>2.1394592614279557</v>
      </c>
    </row>
    <row r="16" spans="1:7">
      <c r="F16" t="s">
        <v>127</v>
      </c>
      <c r="G16">
        <f>(G15/B13)*1000</f>
        <v>16.208024707787541</v>
      </c>
    </row>
    <row r="17" spans="1:3">
      <c r="A17" t="s">
        <v>131</v>
      </c>
      <c r="B17">
        <v>20</v>
      </c>
    </row>
    <row r="18" spans="1:3">
      <c r="A18" t="s">
        <v>155</v>
      </c>
      <c r="B18">
        <f>25.4*0.76</f>
        <v>19.303999999999998</v>
      </c>
    </row>
    <row r="19" spans="1:3">
      <c r="A19" t="s">
        <v>156</v>
      </c>
      <c r="B19" s="63">
        <f>B17+thermal_fdc!B46</f>
        <v>24.10570255802147</v>
      </c>
    </row>
    <row r="20" spans="1:3">
      <c r="A20" t="s">
        <v>130</v>
      </c>
      <c r="B20" s="63">
        <f>B19+B11</f>
        <v>70.307338119847728</v>
      </c>
    </row>
    <row r="21" spans="1:3" ht="14.25">
      <c r="A21" s="67" t="s">
        <v>157</v>
      </c>
      <c r="B21" s="67">
        <f>((9*B20)/5)+32</f>
        <v>158.55320861572591</v>
      </c>
      <c r="C21" t="s">
        <v>158</v>
      </c>
    </row>
    <row r="22" spans="1:3">
      <c r="A22" t="s">
        <v>132</v>
      </c>
      <c r="B22">
        <f>thermal_fdc!B12*2</f>
        <v>7.34</v>
      </c>
    </row>
    <row r="23" spans="1:3">
      <c r="A23" t="s">
        <v>133</v>
      </c>
      <c r="B23">
        <v>4.45</v>
      </c>
    </row>
    <row r="24" spans="1:3">
      <c r="A24" t="s">
        <v>144</v>
      </c>
      <c r="B24">
        <v>6.1</v>
      </c>
    </row>
    <row r="25" spans="1:3">
      <c r="A25" t="s">
        <v>138</v>
      </c>
      <c r="B25">
        <v>8.2140000000000005E-2</v>
      </c>
    </row>
    <row r="26" spans="1:3">
      <c r="A26" t="s">
        <v>145</v>
      </c>
      <c r="B26">
        <f>(B22*3.28*B25)/2.205</f>
        <v>0.89684214421768704</v>
      </c>
    </row>
    <row r="27" spans="1:3">
      <c r="A27" t="s">
        <v>151</v>
      </c>
      <c r="B27">
        <f>(((PI()*B23^2)/400)*B22*100*thermal_fdc!$C$22)/1000</f>
        <v>0.19749316343477499</v>
      </c>
    </row>
    <row r="28" spans="1:3" ht="25.5">
      <c r="A28" s="69" t="s">
        <v>152</v>
      </c>
      <c r="B28" s="70">
        <f>B15+B26</f>
        <v>1.8521513020015357</v>
      </c>
      <c r="C28" t="s">
        <v>146</v>
      </c>
    </row>
    <row r="33" spans="1:2">
      <c r="A33" s="70" t="s">
        <v>159</v>
      </c>
      <c r="B33" s="70">
        <f>thermal_fdc!B60</f>
        <v>2.4921040576012099</v>
      </c>
    </row>
    <row r="34" spans="1:2" ht="14.25">
      <c r="A34" s="67" t="s">
        <v>147</v>
      </c>
      <c r="B34" s="68">
        <f>thermal_fdc!C51</f>
        <v>87.889414063615078</v>
      </c>
    </row>
  </sheetData>
  <phoneticPr fontId="2" type="noConversion"/>
  <pageMargins left="0.75" right="0.75" top="1" bottom="1" header="0.5" footer="0.5"/>
  <pageSetup scale="9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8</vt:i4>
      </vt:variant>
    </vt:vector>
  </HeadingPairs>
  <TitlesOfParts>
    <vt:vector size="33" baseType="lpstr">
      <vt:lpstr>O-RING-FORCE</vt:lpstr>
      <vt:lpstr>pre-amp_locations FINAL</vt:lpstr>
      <vt:lpstr>pre-amp_locations</vt:lpstr>
      <vt:lpstr>membrane_deflection</vt:lpstr>
      <vt:lpstr>mat properties</vt:lpstr>
      <vt:lpstr>cooling_costs</vt:lpstr>
      <vt:lpstr>mass_per_solution</vt:lpstr>
      <vt:lpstr>package spacer_design</vt:lpstr>
      <vt:lpstr>copper_braid</vt:lpstr>
      <vt:lpstr>thermal_fdc2</vt:lpstr>
      <vt:lpstr>thermal_fdc</vt:lpstr>
      <vt:lpstr>fluid_equivalence</vt:lpstr>
      <vt:lpstr>fdc_weight</vt:lpstr>
      <vt:lpstr>driftcell spacer flow</vt:lpstr>
      <vt:lpstr>membrane deflection2</vt:lpstr>
      <vt:lpstr>spacer_material</vt:lpstr>
      <vt:lpstr>LASER TENSION</vt:lpstr>
      <vt:lpstr>edge_cutting</vt:lpstr>
      <vt:lpstr>FLATNESS BALLSCREW</vt:lpstr>
      <vt:lpstr>package threaded rods</vt:lpstr>
      <vt:lpstr>wire detection</vt:lpstr>
      <vt:lpstr>CURING COND EPOXY</vt:lpstr>
      <vt:lpstr>wire calculations</vt:lpstr>
      <vt:lpstr>wire deadening current</vt:lpstr>
      <vt:lpstr>sagging of deadened sense wires</vt:lpstr>
      <vt:lpstr>copper_braid!Print_Area</vt:lpstr>
      <vt:lpstr>fdc_weight!Print_Area</vt:lpstr>
      <vt:lpstr>fluid_equivalence!Print_Area</vt:lpstr>
      <vt:lpstr>'mat properties'!Print_Area</vt:lpstr>
      <vt:lpstr>'pre-amp_locations'!Print_Area</vt:lpstr>
      <vt:lpstr>'pre-amp_locations FINAL'!Print_Area</vt:lpstr>
      <vt:lpstr>thermal_fdc!Print_Area</vt:lpstr>
      <vt:lpstr>thermal_fdc2!Print_Area</vt:lpstr>
    </vt:vector>
  </TitlesOfParts>
  <Company>Jefferson Lab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wcrahen</dc:creator>
  <cp:lastModifiedBy>wcrahen</cp:lastModifiedBy>
  <cp:lastPrinted>2008-03-05T15:45:35Z</cp:lastPrinted>
  <dcterms:created xsi:type="dcterms:W3CDTF">2007-10-10T12:29:28Z</dcterms:created>
  <dcterms:modified xsi:type="dcterms:W3CDTF">2011-11-10T17:03:42Z</dcterms:modified>
</cp:coreProperties>
</file>