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<sst xmlns="http://schemas.openxmlformats.org/spreadsheetml/2006/main" count="826" uniqueCount="144">
  <si>
    <t>e06007</t>
  </si>
  <si>
    <t>I(uA)</t>
  </si>
  <si>
    <t>th_e=21.44</t>
  </si>
  <si>
    <t>th_e'=22.4</t>
  </si>
  <si>
    <t>kin</t>
  </si>
  <si>
    <t>raster(y,x) ptA</t>
  </si>
  <si>
    <t>raster(y,x) ptB</t>
  </si>
  <si>
    <t>raster Area</t>
  </si>
  <si>
    <t>rast cut y</t>
  </si>
  <si>
    <t>rast cut x</t>
  </si>
  <si>
    <t>Raster area ratio</t>
  </si>
  <si>
    <t>graphite tgt</t>
  </si>
  <si>
    <t>rho.t = 0.838 g/cm2, with cos(30) =</t>
  </si>
  <si>
    <t>kin01p, kin02p</t>
  </si>
  <si>
    <t>(-0.002,0.0003)</t>
  </si>
  <si>
    <t>(0.0065,0.0106)</t>
  </si>
  <si>
    <t>0.000 to 0.006</t>
  </si>
  <si>
    <t>0.001 t0 0.007</t>
  </si>
  <si>
    <t>pb4 tgt</t>
  </si>
  <si>
    <t xml:space="preserve">rho.t diamond =0.08593 g/cm2, with cos(30) = </t>
  </si>
  <si>
    <t>g/cm2</t>
  </si>
  <si>
    <t>Lead = 0.1937 g/cm2, with cos(30) =</t>
  </si>
  <si>
    <t>I include the trig5 in the L.gold.dp live time corrected, columnO/columnN</t>
  </si>
  <si>
    <t>pb3 tgt</t>
  </si>
  <si>
    <t xml:space="preserve">Diamond = 0.08395 g/cm2, with cos(30) = </t>
  </si>
  <si>
    <t>L.gold.dp counts over rastx*rasty cut</t>
  </si>
  <si>
    <t>Lead = 0.1948 g/cm2, with cos(30) =</t>
  </si>
  <si>
    <t>Run #</t>
  </si>
  <si>
    <t>target</t>
  </si>
  <si>
    <t>ps3</t>
  </si>
  <si>
    <t>Q(C)</t>
  </si>
  <si>
    <t>t3</t>
  </si>
  <si>
    <t>t3_scaler</t>
  </si>
  <si>
    <t>Live time</t>
  </si>
  <si>
    <t>L.gold.dp</t>
  </si>
  <si>
    <t>L.gold.dp/Q*ps3/(frac raster)</t>
  </si>
  <si>
    <t>L.gold.dp/Q Pb</t>
  </si>
  <si>
    <t>edtpl</t>
  </si>
  <si>
    <t>edtmcnt</t>
  </si>
  <si>
    <t>edt live</t>
  </si>
  <si>
    <t>L.gold.dp, t5</t>
  </si>
  <si>
    <t>Kin01p, 22.4</t>
  </si>
  <si>
    <t>live time corrected</t>
  </si>
  <si>
    <t>subtract carbon</t>
  </si>
  <si>
    <t>C-on</t>
  </si>
  <si>
    <t>Pb4</t>
  </si>
  <si>
    <t>Kin02p, 22.4</t>
  </si>
  <si>
    <t>C-off</t>
  </si>
  <si>
    <t>Kin01, 21.44</t>
  </si>
  <si>
    <t>raster pattern r1230, A(.00030,-.0022),B(.0105,.0065),cuts (.001&lt;x&lt;.007),(-0.001&lt;y&lt;.005)</t>
  </si>
  <si>
    <t>frac rast =</t>
  </si>
  <si>
    <t>raster pattern r1518, A(.006,.0023),B(.0134,.0101), cuts(.007&lt;x&lt;.011), (.003&lt;y&lt;.009)</t>
  </si>
  <si>
    <t>1518-reg1</t>
  </si>
  <si>
    <t>1518-reg2</t>
  </si>
  <si>
    <t>1518-reg3</t>
  </si>
  <si>
    <t>1518-reg4</t>
  </si>
  <si>
    <t>pb3</t>
  </si>
  <si>
    <t>raster pattern r1721 A(0.0061,0.0028),B(0.0134,0.0098), cuts(.007&lt;x&lt;.011), (.003&lt;y&lt;.009)</t>
  </si>
  <si>
    <t>Avg =</t>
  </si>
  <si>
    <t>Kin05, raster pattern A(.006,.0028),B(0.0135,0.0098), cuts (0.007&lt;x&lt;0.012),(0.004&lt;y&lt;0.009)</t>
  </si>
  <si>
    <t>1610-reg1</t>
  </si>
  <si>
    <t>1610-reg2</t>
  </si>
  <si>
    <t>1610-reg3</t>
  </si>
  <si>
    <t>1610-reg4</t>
  </si>
  <si>
    <t>Sum =</t>
  </si>
  <si>
    <t>kin05 after raster leads were switched</t>
  </si>
  <si>
    <t>raster pattern A(0.006,0.0028),B(0.0135,0.0098),cuts (0.007&lt;x&lt;0.012), (0.004&lt;y&lt;0.009)</t>
  </si>
  <si>
    <t>kin06</t>
  </si>
  <si>
    <t>raster pattern r1419 A(.006,.0023), B(.01345,.010), cuts(.006&lt;x&lt;.012),(.004&lt;y&lt;.009), frac rast1 = 0.552</t>
  </si>
  <si>
    <t>frac rast2 =</t>
  </si>
  <si>
    <t xml:space="preserve"> if cuts are (0.007&lt;x&lt;0.011)&amp;&amp;(0.004&lt;y&lt;0.009)</t>
  </si>
  <si>
    <t>C-on,frac1</t>
  </si>
  <si>
    <t>C-on,frac2</t>
  </si>
  <si>
    <t>raster pattern r1917, A(.0054,.0037), B(.0140,.0089), cutsx(.007,0.012), cutsy(.0045,0.0075)</t>
  </si>
  <si>
    <t xml:space="preserve">frac rast = </t>
  </si>
  <si>
    <t>ps1</t>
  </si>
  <si>
    <t>t1</t>
  </si>
  <si>
    <t>t1scaler</t>
  </si>
  <si>
    <t>L.gold.dp.t1</t>
  </si>
  <si>
    <t>ps2</t>
  </si>
  <si>
    <t>t2</t>
  </si>
  <si>
    <t>t2scaler</t>
  </si>
  <si>
    <t>L.gold.dp.t2</t>
  </si>
  <si>
    <t>ps4</t>
  </si>
  <si>
    <t>t4</t>
  </si>
  <si>
    <t>t4scaler</t>
  </si>
  <si>
    <t>L.gold.dp.t4</t>
  </si>
  <si>
    <t>t5</t>
  </si>
  <si>
    <t>t5scaler</t>
  </si>
  <si>
    <t>Kin04 raster pattern: A(x,y)=(0.005,0.003), B(0.014,0.0095) cuts on x (0.006&lt;x&lt;0.012), cuts on y (0.004&lt;y&lt;0.009)</t>
  </si>
  <si>
    <t>frac raster =</t>
  </si>
  <si>
    <t>Kin04 raster pattern: A(x,y)=(0.005,0.003), B(0.014,0.0095) cuts on x (0.009&lt;x&lt;0.012), cuts on y (0.004&lt;y&lt;0.009)</t>
  </si>
  <si>
    <t>Kin04 raster pattern, r1934 A(0.0055,.0037).B(0.014,0.0088), cutsx(.007,.012),cutsy(0.0045,0.008)</t>
  </si>
  <si>
    <t>Kin07, raster pattern: A(x,y)=(.006,.0022),B(.0135,.010), cuts (0.007&lt;x&lt;0.011), (0.003&lt;y&lt;0.009)</t>
  </si>
  <si>
    <t>raster was changed: A(x,y)=(0.0060,0.0028),B(0.0135,0.0098)</t>
  </si>
  <si>
    <t>The carbon results were obtained with a different raster and gives cnts/C, so I should use 49200000 for carbon subtraction as for runs before 1596</t>
  </si>
  <si>
    <t>kin02, raster pattern r1231, A(.00030,-.0022),B(.0105,.0065),cuts (.001&lt;x&lt;.007),(-0.001&lt;y&lt;.005)</t>
  </si>
  <si>
    <t>new raster after r1624, r16249 would use old uncorrected raster, for example</t>
  </si>
  <si>
    <t>raster pattern r1731, A(.0060,0.0028),B(.0135,.0098),cuts (.007&lt;x&lt;.011),(0.004&lt;y&lt;.009)</t>
  </si>
  <si>
    <t>kin03, raster pattern A(0.006,0.0028),B(.0135,0.0098), cuts (0.007&lt;x&lt;0.011), (0.003&lt;y&lt;0.009)</t>
  </si>
  <si>
    <t>Kin08, raster pattern A(0.006,0.0028),B(.0135,0.0098), cuts (0.007&lt;x&lt;0.011), (0.004&lt;y&lt;0.009)</t>
  </si>
  <si>
    <t>kin10, raster pattern A(0.006,0.003), B(0.0135,0.0095), cuts (0.007&lt;x&lt;0.012),(0.004&lt;y&lt;0.008)</t>
  </si>
  <si>
    <t xml:space="preserve">kin09, raster pattern, r1859, A(0.0054,0.0035),B(0.0139,0.0091),cutsx(0.007,0.013),cutsy(0.0045,0.008) </t>
  </si>
  <si>
    <t>kin09, raster pattern, r1873, A(0.0055,0.0037),B(0.0139,0.0088),cutsx(0.007,0.013),cutsy(0.0045,0.008)</t>
  </si>
  <si>
    <t>kin09, raster pattern, r1889, A(0.0062,0.0034),B(0.0132,0.009),cutsx(0.007,0.013),cutsy(0.0045,0.008)</t>
  </si>
  <si>
    <t>frac rast3 =</t>
  </si>
  <si>
    <t>kin11, raster pattern, r1895, A(0.0055,0.0037),B(0.0139,0.0088),cutsx(0.007,0.013),cutsy(0.0045,0.008)</t>
  </si>
  <si>
    <t>Avg=</t>
  </si>
  <si>
    <t>kin11, raster pattern, r1895, A(0.0055,0.0037),B(0.0139,0.0088),cutsx(0.007,0.013),cutsy(0.0045,0.0065)</t>
  </si>
  <si>
    <t>Bismuth Data</t>
  </si>
  <si>
    <t>bismuth tgt</t>
  </si>
  <si>
    <t xml:space="preserve">Diamond =  g/cm2, with cos(30) = </t>
  </si>
  <si>
    <t>0.09423/cos(30) =</t>
  </si>
  <si>
    <t>bi(diamond)/graphite=</t>
  </si>
  <si>
    <t>carbon r1230=</t>
  </si>
  <si>
    <t>bi(carb)=</t>
  </si>
  <si>
    <t>Kin02,raster pattern r1326, A(0.0051,0.003),B(0.0143,0.0095),cutsx(0.006,0.013),cutsy(0.006,0.0085)</t>
  </si>
  <si>
    <t>carbon content from r1231 = 48820000*1.124</t>
  </si>
  <si>
    <t>carbon content =</t>
  </si>
  <si>
    <t>bi</t>
  </si>
  <si>
    <t xml:space="preserve">kin03, raster pattern r1977, A(0.0055,0.0037),B(0.0140,0.0088),cutsx(0.0095,0.013),cutsy(0.005,0.008) </t>
  </si>
  <si>
    <t>from runs 1645,1646,1647</t>
  </si>
  <si>
    <t>Is 51100000*1.124</t>
  </si>
  <si>
    <t xml:space="preserve">kin04 </t>
  </si>
  <si>
    <t>First bismuth raster pattern A(0.006,0.0022), B(0.0134,0.0102) cutsx (0.007,0.012),cutsy (0.006,0.009)</t>
  </si>
  <si>
    <t>carbon content from r1339+1345 =</t>
  </si>
  <si>
    <t>49600000*1.124 =</t>
  </si>
  <si>
    <t>Kin04 second bismuth raster pattern A(.0054,.0037), B(.014,.0088), cuts(.009&lt;x&lt;.013), (.005&lt;y&lt;.008)</t>
  </si>
  <si>
    <t>Bi-rev-rast</t>
  </si>
  <si>
    <t>Kin05, raster pattern, r1985 A(0.0055,0.0037),B(0.014,0.0088),cutsx(0.01,0.013),cutsy(0.005,0.008)</t>
  </si>
  <si>
    <t>kin06, raster pattern, r1422, A(0.006,0.0023), B(0.0135,0.010),cutsx(0.007,0.012),cutsy(0.006,0.009)</t>
  </si>
  <si>
    <t>carbon content from r1419 =48480000*1.124=</t>
  </si>
  <si>
    <t>Kin07, raster pattern, r2008 A(0.0055,0.0037),B(0.014,0.0088),cutsx(0.01,0.013),cutsy(0.005,0.008)</t>
  </si>
  <si>
    <t>kin01 raster pattern, r1215 A(0.0004,-0.0022),B(0.0105,0.0065),cutsx(0.001,0.008),cutsy(0.0,0.005), visible hole in rastxy</t>
  </si>
  <si>
    <t>carbon content from run 1230 =</t>
  </si>
  <si>
    <t>48806174*(0.0992/0.0968)=</t>
  </si>
  <si>
    <t>kin02, raster pattern r1231, A(.00030,-.0022),B(.0105,.0065),cutsx (0.001,0.007),cutsy(-0.001,0.005)</t>
  </si>
  <si>
    <t>carbon content from r1231 = 48735251*(0.0992/0.0968)=</t>
  </si>
  <si>
    <t>raster pattern r1255, A(0.0048,0.0003),B(0.0215,0.0159),cutsx(0.007,0.020),cutsy(0.002,0.014)</t>
  </si>
  <si>
    <t>Kin12 raster pattern A(0.006,0.0022), B(0.0135,0.0104),cutsx(0.007,0.011),cutsy(0.004,0.009)</t>
  </si>
  <si>
    <t>pb avg =</t>
  </si>
  <si>
    <t>kin13 raster pattern r1491 A(0.006,0.0022), B(0.0135,0.0104),cutsx(0.007,0.011),cutsy(0.004,0.009)</t>
  </si>
  <si>
    <t>c rastered avg =</t>
  </si>
  <si>
    <t>coff/con =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</si>
</sst>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.00000"/>
    <numFmt numFmtId="167" formatCode="0.0000"/>
    <numFmt numFmtId="168" formatCode="0.0000000"/>
    <numFmt numFmtId="169" formatCode="0.000000000"/>
    <numFmt numFmtId="170" formatCode="0.00000000"/>
    <numFmt numFmtId="171" formatCode="0.00E+000"/>
    <numFmt numFmtId="172" formatCode="0.000"/>
    <numFmt numFmtId="173" formatCode="0.00"/>
    <numFmt numFmtId="17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1" fillId="4" borderId="0" xfId="0" applyFont="1" applyFill="1" applyBorder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5" fontId="0" fillId="5" borderId="0" xfId="0" applyNumberFormat="1" applyFill="1" applyAlignment="1">
      <alignment/>
    </xf>
    <xf numFmtId="167" fontId="0" fillId="0" borderId="0" xfId="0" applyNumberFormat="1" applyAlignment="1">
      <alignment/>
    </xf>
    <xf numFmtId="164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64" fontId="0" fillId="6" borderId="0" xfId="0" applyFont="1" applyFill="1" applyAlignment="1">
      <alignment/>
    </xf>
    <xf numFmtId="165" fontId="0" fillId="6" borderId="0" xfId="0" applyNumberFormat="1" applyFill="1" applyAlignment="1">
      <alignment/>
    </xf>
    <xf numFmtId="164" fontId="0" fillId="7" borderId="0" xfId="0" applyFont="1" applyFill="1" applyAlignment="1">
      <alignment/>
    </xf>
    <xf numFmtId="165" fontId="0" fillId="7" borderId="0" xfId="0" applyNumberFormat="1" applyFont="1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50"/>
  <sheetViews>
    <sheetView tabSelected="1" workbookViewId="0" topLeftCell="A40">
      <selection activeCell="K429" sqref="K425:K429"/>
    </sheetView>
  </sheetViews>
  <sheetFormatPr defaultColWidth="12.57421875" defaultRowHeight="12.75"/>
  <cols>
    <col min="1" max="1" width="12.140625" style="0" customWidth="1"/>
    <col min="2" max="2" width="10.28125" style="0" customWidth="1"/>
    <col min="3" max="3" width="6.28125" style="0" customWidth="1"/>
    <col min="4" max="4" width="5.57421875" style="0" customWidth="1"/>
    <col min="5" max="5" width="10.57421875" style="0" customWidth="1"/>
    <col min="6" max="6" width="9.28125" style="0" customWidth="1"/>
    <col min="7" max="7" width="11.8515625" style="0" customWidth="1"/>
    <col min="8" max="8" width="11.421875" style="0" customWidth="1"/>
    <col min="9" max="9" width="12.421875" style="0" customWidth="1"/>
    <col min="10" max="10" width="19.421875" style="1" customWidth="1"/>
    <col min="11" max="11" width="15.7109375" style="0" customWidth="1"/>
    <col min="12" max="12" width="8.7109375" style="0" customWidth="1"/>
    <col min="13" max="13" width="9.421875" style="0" customWidth="1"/>
    <col min="14" max="14" width="9.57421875" style="0" customWidth="1"/>
    <col min="15" max="15" width="11.140625" style="0" customWidth="1"/>
    <col min="16" max="16384" width="11.57421875" style="0" customWidth="1"/>
  </cols>
  <sheetData>
    <row r="1" spans="1:15" ht="15.75">
      <c r="A1" t="s">
        <v>0</v>
      </c>
      <c r="C1" t="s">
        <v>1</v>
      </c>
      <c r="E1" t="s">
        <v>2</v>
      </c>
      <c r="F1" t="s">
        <v>3</v>
      </c>
      <c r="I1" t="s">
        <v>4</v>
      </c>
      <c r="J1" s="2" t="s">
        <v>5</v>
      </c>
      <c r="K1" t="s">
        <v>6</v>
      </c>
      <c r="L1" t="s">
        <v>7</v>
      </c>
      <c r="M1" t="s">
        <v>8</v>
      </c>
      <c r="N1" s="3" t="s">
        <v>9</v>
      </c>
      <c r="O1" s="4" t="s">
        <v>10</v>
      </c>
    </row>
    <row r="2" spans="1:15" ht="15.75">
      <c r="A2" t="s">
        <v>11</v>
      </c>
      <c r="B2" t="s">
        <v>12</v>
      </c>
      <c r="G2" s="5">
        <f>0.0838/COS(30/57.29)</f>
        <v>0.09676685630449242</v>
      </c>
      <c r="I2" t="s">
        <v>13</v>
      </c>
      <c r="J2" s="2" t="s">
        <v>14</v>
      </c>
      <c r="K2" t="s">
        <v>15</v>
      </c>
      <c r="L2" s="6">
        <f>(0.0067*0.0109)</f>
        <v>7.303E-05</v>
      </c>
      <c r="M2" t="s">
        <v>16</v>
      </c>
      <c r="N2" s="3" t="s">
        <v>17</v>
      </c>
      <c r="O2" s="4">
        <f>0.006*0.006/L2</f>
        <v>0.4929481035191018</v>
      </c>
    </row>
    <row r="3" spans="1:15" ht="15.75">
      <c r="A3" t="s">
        <v>18</v>
      </c>
      <c r="B3" t="s">
        <v>19</v>
      </c>
      <c r="G3" s="5">
        <f>0.08593/COS(30/57.29)</f>
        <v>0.09922644346354456</v>
      </c>
      <c r="H3" t="s">
        <v>20</v>
      </c>
      <c r="J3" s="2"/>
      <c r="N3" s="3"/>
      <c r="O3" s="4"/>
    </row>
    <row r="4" spans="1:15" ht="15.75">
      <c r="A4" t="s">
        <v>18</v>
      </c>
      <c r="B4" t="s">
        <v>21</v>
      </c>
      <c r="G4" s="5">
        <f>0.1937/COS(30/57.29)</f>
        <v>0.22367231582553918</v>
      </c>
      <c r="H4" t="s">
        <v>20</v>
      </c>
      <c r="I4" t="s">
        <v>22</v>
      </c>
      <c r="J4" s="2"/>
      <c r="N4" s="3"/>
      <c r="O4" s="4"/>
    </row>
    <row r="5" spans="1:15" ht="15.75">
      <c r="A5" t="s">
        <v>23</v>
      </c>
      <c r="B5" t="s">
        <v>24</v>
      </c>
      <c r="G5" s="5">
        <f>0.08395/COS(30/57.29)</f>
        <v>0.09694006666780597</v>
      </c>
      <c r="H5" t="s">
        <v>20</v>
      </c>
      <c r="I5" t="s">
        <v>25</v>
      </c>
      <c r="J5" s="2"/>
      <c r="N5" s="3"/>
      <c r="O5" s="4"/>
    </row>
    <row r="6" spans="1:15" ht="15.75">
      <c r="A6" t="s">
        <v>23</v>
      </c>
      <c r="B6" t="s">
        <v>26</v>
      </c>
      <c r="G6" s="5">
        <f>0.1948/COS(30/57.29)</f>
        <v>0.22494252515650506</v>
      </c>
      <c r="H6" t="s">
        <v>20</v>
      </c>
      <c r="J6" s="2"/>
      <c r="N6" s="3"/>
      <c r="O6" s="4"/>
    </row>
    <row r="7" spans="10:15" ht="15.75">
      <c r="J7" s="2"/>
      <c r="N7" s="3"/>
      <c r="O7" s="4"/>
    </row>
    <row r="8" spans="1:15" ht="15.75">
      <c r="A8" t="s">
        <v>27</v>
      </c>
      <c r="B8" t="s">
        <v>28</v>
      </c>
      <c r="D8" t="s">
        <v>29</v>
      </c>
      <c r="E8" t="s">
        <v>30</v>
      </c>
      <c r="F8" t="s">
        <v>31</v>
      </c>
      <c r="G8" t="s">
        <v>32</v>
      </c>
      <c r="H8" t="s">
        <v>33</v>
      </c>
      <c r="I8" t="s">
        <v>34</v>
      </c>
      <c r="J8" s="1" t="s">
        <v>35</v>
      </c>
      <c r="K8" t="s">
        <v>36</v>
      </c>
      <c r="L8" t="s">
        <v>37</v>
      </c>
      <c r="M8" t="s">
        <v>38</v>
      </c>
      <c r="N8" t="s">
        <v>39</v>
      </c>
      <c r="O8" t="s">
        <v>40</v>
      </c>
    </row>
    <row r="9" spans="1:11" ht="15.75">
      <c r="A9" t="s">
        <v>41</v>
      </c>
      <c r="J9" s="1" t="s">
        <v>42</v>
      </c>
      <c r="K9" t="s">
        <v>43</v>
      </c>
    </row>
    <row r="10" spans="1:15" ht="15.75">
      <c r="A10">
        <v>1194</v>
      </c>
      <c r="B10" t="s">
        <v>44</v>
      </c>
      <c r="C10">
        <v>43.6</v>
      </c>
      <c r="D10">
        <v>10</v>
      </c>
      <c r="E10" s="7">
        <v>0.157608</v>
      </c>
      <c r="F10">
        <v>826901</v>
      </c>
      <c r="G10" s="8">
        <v>9050940</v>
      </c>
      <c r="H10" s="9">
        <f>F10*D10/G10</f>
        <v>0.9136078683540052</v>
      </c>
      <c r="I10">
        <v>193347</v>
      </c>
      <c r="J10" s="1">
        <f>(D10*I10/H10+O10/N10)/E10/O2</f>
        <v>27571817.541934166</v>
      </c>
      <c r="K10" s="1">
        <f>J10*G3/G2</f>
        <v>28272628.656066865</v>
      </c>
      <c r="L10">
        <v>11960</v>
      </c>
      <c r="M10">
        <v>13388</v>
      </c>
      <c r="N10" s="10">
        <f>L10/M10</f>
        <v>0.8933373170002987</v>
      </c>
      <c r="O10">
        <v>23069</v>
      </c>
    </row>
    <row r="11" spans="1:15" ht="15.75">
      <c r="A11">
        <v>1184</v>
      </c>
      <c r="B11" t="s">
        <v>45</v>
      </c>
      <c r="C11" s="11">
        <v>4.7</v>
      </c>
      <c r="D11">
        <v>4</v>
      </c>
      <c r="E11" s="7">
        <v>0.00185826</v>
      </c>
      <c r="F11">
        <v>54790</v>
      </c>
      <c r="G11">
        <v>231175</v>
      </c>
      <c r="H11" s="9">
        <f>F11*D11/G11</f>
        <v>0.9480263869363037</v>
      </c>
      <c r="I11">
        <v>13378</v>
      </c>
      <c r="J11" s="1">
        <f>(D11*I11/H11+O11/N11)/E11/O2</f>
        <v>62056242.561484374</v>
      </c>
      <c r="K11" s="1">
        <f>J11-K10</f>
        <v>33783613.90541751</v>
      </c>
      <c r="L11">
        <v>1325</v>
      </c>
      <c r="M11">
        <v>1462</v>
      </c>
      <c r="N11" s="10">
        <f>L11/M11</f>
        <v>0.9062927496580028</v>
      </c>
      <c r="O11">
        <v>362</v>
      </c>
    </row>
    <row r="12" spans="1:15" ht="15.75">
      <c r="A12">
        <v>1185</v>
      </c>
      <c r="B12" t="s">
        <v>45</v>
      </c>
      <c r="C12" s="11">
        <v>9.1</v>
      </c>
      <c r="D12">
        <v>4</v>
      </c>
      <c r="E12" s="7">
        <v>0.00378132</v>
      </c>
      <c r="F12">
        <v>103677</v>
      </c>
      <c r="G12">
        <v>464218</v>
      </c>
      <c r="H12" s="9">
        <f>F12*D12/G12</f>
        <v>0.8933475220693726</v>
      </c>
      <c r="I12">
        <v>25680</v>
      </c>
      <c r="J12" s="1">
        <f>(D12*I12/H12+O12/N12)/E12/O2</f>
        <v>62123435.114003345</v>
      </c>
      <c r="K12" s="1">
        <f>J12-K10</f>
        <v>33850806.45793648</v>
      </c>
      <c r="L12">
        <v>1347</v>
      </c>
      <c r="M12">
        <v>1554</v>
      </c>
      <c r="N12" s="10">
        <f>L12/M12</f>
        <v>0.8667953667953668</v>
      </c>
      <c r="O12">
        <v>706</v>
      </c>
    </row>
    <row r="13" spans="1:15" ht="15.75">
      <c r="A13">
        <v>1186</v>
      </c>
      <c r="B13" t="s">
        <v>45</v>
      </c>
      <c r="C13" s="11">
        <v>19.5</v>
      </c>
      <c r="D13">
        <v>4</v>
      </c>
      <c r="E13" s="7">
        <v>0.0052385999999999995</v>
      </c>
      <c r="F13">
        <v>126047</v>
      </c>
      <c r="G13">
        <v>640808</v>
      </c>
      <c r="H13" s="9">
        <f>F13*D13/G13</f>
        <v>0.7868004144767231</v>
      </c>
      <c r="I13">
        <v>31052</v>
      </c>
      <c r="J13" s="1">
        <f>(D13*I13/H13+O13/N13)/E13/O2</f>
        <v>61634699.17708013</v>
      </c>
      <c r="K13" s="1">
        <f>J13-K10</f>
        <v>33362070.521013267</v>
      </c>
      <c r="L13">
        <v>722</v>
      </c>
      <c r="M13">
        <v>1021</v>
      </c>
      <c r="N13" s="10">
        <f>L13/M13</f>
        <v>0.7071498530852106</v>
      </c>
      <c r="O13">
        <v>918</v>
      </c>
    </row>
    <row r="14" spans="1:15" ht="15.75">
      <c r="A14">
        <v>1187</v>
      </c>
      <c r="B14" t="s">
        <v>45</v>
      </c>
      <c r="C14" s="11">
        <v>39.2</v>
      </c>
      <c r="D14">
        <v>4</v>
      </c>
      <c r="E14" s="7">
        <v>0.00726007</v>
      </c>
      <c r="F14">
        <v>134776</v>
      </c>
      <c r="G14">
        <v>893045</v>
      </c>
      <c r="H14" s="9">
        <f>F14*D14/G14</f>
        <v>0.6036694679439446</v>
      </c>
      <c r="I14">
        <v>32625</v>
      </c>
      <c r="J14" s="1">
        <f>(D14*I14/H14+O14/N14)/E14/O2</f>
        <v>60911927.86496924</v>
      </c>
      <c r="K14" s="1">
        <f>J14-K10</f>
        <v>32639299.208902374</v>
      </c>
      <c r="L14">
        <v>383</v>
      </c>
      <c r="M14">
        <v>709</v>
      </c>
      <c r="N14" s="10">
        <f>L14/M14</f>
        <v>0.5401974612129761</v>
      </c>
      <c r="O14">
        <v>981</v>
      </c>
    </row>
    <row r="15" spans="1:15" ht="15.75">
      <c r="A15">
        <v>1188</v>
      </c>
      <c r="B15" t="s">
        <v>45</v>
      </c>
      <c r="C15" s="11">
        <v>42.8</v>
      </c>
      <c r="D15">
        <v>10</v>
      </c>
      <c r="E15" s="7">
        <v>0.177681</v>
      </c>
      <c r="F15">
        <v>1944905</v>
      </c>
      <c r="G15" s="8">
        <v>22056900</v>
      </c>
      <c r="H15" s="9">
        <f>F15*D15/G15</f>
        <v>0.8817671567627364</v>
      </c>
      <c r="I15">
        <v>466394</v>
      </c>
      <c r="J15" s="1">
        <f>(D15*I15/H15+O15/N15)/E15/O2</f>
        <v>60907923.44761382</v>
      </c>
      <c r="K15" s="1">
        <f>J15-K10</f>
        <v>32635294.791546956</v>
      </c>
      <c r="L15">
        <v>12800</v>
      </c>
      <c r="M15">
        <v>15341</v>
      </c>
      <c r="N15" s="10">
        <f>L15/M15</f>
        <v>0.8343654259826608</v>
      </c>
      <c r="O15">
        <v>37933</v>
      </c>
    </row>
    <row r="16" spans="1:15" ht="15.75">
      <c r="A16">
        <v>1189</v>
      </c>
      <c r="B16" t="s">
        <v>45</v>
      </c>
      <c r="C16" s="11">
        <v>35.7</v>
      </c>
      <c r="D16">
        <v>10</v>
      </c>
      <c r="E16" s="7">
        <v>0.18387699999999998</v>
      </c>
      <c r="F16">
        <v>1948377</v>
      </c>
      <c r="G16" s="8">
        <v>21753800</v>
      </c>
      <c r="H16" s="9">
        <f>F16*D16/G16</f>
        <v>0.8956490360304866</v>
      </c>
      <c r="I16">
        <v>442511</v>
      </c>
      <c r="J16" s="1">
        <f>(D16*I16/H16+O16/N16)/E16/O2</f>
        <v>54929815.508173965</v>
      </c>
      <c r="K16" s="1">
        <f>J16-K10</f>
        <v>26657186.8521071</v>
      </c>
      <c r="L16">
        <v>16560</v>
      </c>
      <c r="M16">
        <v>19035</v>
      </c>
      <c r="N16" s="10">
        <f>L16/M16</f>
        <v>0.8699763593380615</v>
      </c>
      <c r="O16">
        <v>33289</v>
      </c>
    </row>
    <row r="17" spans="3:11" ht="15.75">
      <c r="C17" s="11"/>
      <c r="E17" s="7"/>
      <c r="G17" s="8"/>
      <c r="H17" s="9"/>
      <c r="K17" s="1"/>
    </row>
    <row r="18" spans="1:15" ht="15.75">
      <c r="A18" t="s">
        <v>27</v>
      </c>
      <c r="B18" t="s">
        <v>28</v>
      </c>
      <c r="D18" t="s">
        <v>29</v>
      </c>
      <c r="E18" t="s">
        <v>30</v>
      </c>
      <c r="F18" t="s">
        <v>31</v>
      </c>
      <c r="G18" t="s">
        <v>32</v>
      </c>
      <c r="H18" t="s">
        <v>33</v>
      </c>
      <c r="I18" t="s">
        <v>34</v>
      </c>
      <c r="J18" s="1" t="s">
        <v>35</v>
      </c>
      <c r="K18" t="s">
        <v>36</v>
      </c>
      <c r="L18" t="s">
        <v>37</v>
      </c>
      <c r="M18" t="s">
        <v>38</v>
      </c>
      <c r="N18" t="s">
        <v>39</v>
      </c>
      <c r="O18" t="s">
        <v>40</v>
      </c>
    </row>
    <row r="19" ht="15.75">
      <c r="A19" t="s">
        <v>46</v>
      </c>
    </row>
    <row r="20" spans="1:15" ht="15.75">
      <c r="A20">
        <v>1195</v>
      </c>
      <c r="B20" t="s">
        <v>44</v>
      </c>
      <c r="C20" s="11">
        <v>39.4</v>
      </c>
      <c r="D20">
        <v>10</v>
      </c>
      <c r="E20" s="3">
        <v>0.134324</v>
      </c>
      <c r="F20">
        <v>752137</v>
      </c>
      <c r="G20" s="8">
        <v>7685720</v>
      </c>
      <c r="H20" s="9">
        <f>D20*F20/G20</f>
        <v>0.9786161869024632</v>
      </c>
      <c r="I20">
        <v>166439</v>
      </c>
      <c r="J20" s="1">
        <f>(D20*I20/H20+O20/N20)/E20/O2</f>
        <v>25941829.214573305</v>
      </c>
      <c r="K20" s="1">
        <f>J20*G3/G2</f>
        <v>26601209.837807693</v>
      </c>
      <c r="L20">
        <v>11980</v>
      </c>
      <c r="M20">
        <v>12604</v>
      </c>
      <c r="N20" s="9">
        <f>L20/M20</f>
        <v>0.9504919073310061</v>
      </c>
      <c r="O20">
        <v>16133</v>
      </c>
    </row>
    <row r="21" spans="1:15" ht="15.75">
      <c r="A21">
        <v>1196</v>
      </c>
      <c r="B21" t="s">
        <v>47</v>
      </c>
      <c r="C21" s="11">
        <v>41.6</v>
      </c>
      <c r="D21">
        <v>10</v>
      </c>
      <c r="E21" s="3">
        <v>0.15272000000000002</v>
      </c>
      <c r="F21">
        <v>634543</v>
      </c>
      <c r="G21" s="8">
        <v>6423180</v>
      </c>
      <c r="H21" s="9">
        <f>D21*F21/G21</f>
        <v>0.9878954038342379</v>
      </c>
      <c r="I21">
        <v>512244</v>
      </c>
      <c r="J21" s="1">
        <f>(D21*I21/H21+O21/N21)/E21</f>
        <v>34289896.88209646</v>
      </c>
      <c r="K21" s="1">
        <f>J21*G3/G2</f>
        <v>35161465.860125884</v>
      </c>
      <c r="L21">
        <v>13106</v>
      </c>
      <c r="M21">
        <v>13583</v>
      </c>
      <c r="N21" s="9">
        <f>L21/M21</f>
        <v>0.9648825738054921</v>
      </c>
      <c r="O21">
        <v>49738</v>
      </c>
    </row>
    <row r="22" spans="1:15" ht="15.75">
      <c r="A22">
        <v>1197</v>
      </c>
      <c r="B22" t="s">
        <v>45</v>
      </c>
      <c r="C22" s="11">
        <v>40.9</v>
      </c>
      <c r="D22">
        <v>10</v>
      </c>
      <c r="E22" s="12">
        <v>0.147289</v>
      </c>
      <c r="F22">
        <v>1375086</v>
      </c>
      <c r="G22" s="8">
        <v>14587700</v>
      </c>
      <c r="H22" s="9">
        <f>D22*F22/G22</f>
        <v>0.9426338627748034</v>
      </c>
      <c r="I22">
        <v>353672</v>
      </c>
      <c r="J22" s="1">
        <f>(D22*I22/H22+O22/N22)/E22/O2</f>
        <v>52354173.77070952</v>
      </c>
      <c r="K22" s="1">
        <f>J22-K20</f>
        <v>25752963.93290183</v>
      </c>
      <c r="L22">
        <v>5572</v>
      </c>
      <c r="M22">
        <v>13314</v>
      </c>
      <c r="N22" s="9">
        <f>L22/M22</f>
        <v>0.4185068349106204</v>
      </c>
      <c r="O22">
        <v>20617</v>
      </c>
    </row>
    <row r="23" spans="1:15" ht="15.75">
      <c r="A23">
        <v>1198</v>
      </c>
      <c r="B23" t="s">
        <v>45</v>
      </c>
      <c r="C23" s="11">
        <v>44.6</v>
      </c>
      <c r="D23">
        <v>10</v>
      </c>
      <c r="E23" s="12">
        <v>0.155507</v>
      </c>
      <c r="F23">
        <v>1452417</v>
      </c>
      <c r="G23" s="8">
        <v>15408200</v>
      </c>
      <c r="H23" s="9">
        <f>D23*F23/G23</f>
        <v>0.9426260043353539</v>
      </c>
      <c r="I23">
        <v>373512</v>
      </c>
      <c r="J23" s="1">
        <f>(D23*I23/H23+O23/N23)/E23/O2</f>
        <v>52013733.75766753</v>
      </c>
      <c r="K23" s="1">
        <f>J23-K20</f>
        <v>25412523.919859834</v>
      </c>
      <c r="L23">
        <v>11387</v>
      </c>
      <c r="M23">
        <v>12858</v>
      </c>
      <c r="N23" s="9">
        <f>L23/M23</f>
        <v>0.8855965157878364</v>
      </c>
      <c r="O23">
        <v>21917</v>
      </c>
    </row>
    <row r="24" spans="1:15" ht="15.75">
      <c r="A24">
        <v>1199</v>
      </c>
      <c r="B24" t="s">
        <v>45</v>
      </c>
      <c r="C24" s="11">
        <v>45.8</v>
      </c>
      <c r="D24">
        <v>10</v>
      </c>
      <c r="E24" s="12">
        <v>0.15738000000000002</v>
      </c>
      <c r="F24">
        <v>1470715</v>
      </c>
      <c r="G24" s="8">
        <v>15602900</v>
      </c>
      <c r="H24" s="9">
        <f>D24*F24/G24</f>
        <v>0.9425908004281255</v>
      </c>
      <c r="I24">
        <v>378583</v>
      </c>
      <c r="J24" s="1">
        <f>(D24*I24/H24+O24/N24)/E24/O2</f>
        <v>52090447.12092686</v>
      </c>
      <c r="K24" s="1">
        <f>J24-K22</f>
        <v>26337483.188025028</v>
      </c>
      <c r="L24">
        <v>11313</v>
      </c>
      <c r="M24">
        <v>12726</v>
      </c>
      <c r="N24" s="9">
        <f>L24/M24</f>
        <v>0.888967468175389</v>
      </c>
      <c r="O24">
        <v>22026</v>
      </c>
    </row>
    <row r="25" spans="1:15" ht="15.75">
      <c r="A25">
        <v>1200</v>
      </c>
      <c r="B25" t="s">
        <v>45</v>
      </c>
      <c r="C25" s="11">
        <v>42.3</v>
      </c>
      <c r="D25">
        <v>10</v>
      </c>
      <c r="E25" s="3">
        <v>0.280398</v>
      </c>
      <c r="F25">
        <v>2624327</v>
      </c>
      <c r="G25" s="8">
        <v>27814800</v>
      </c>
      <c r="H25" s="9">
        <f>D25*F25/G25</f>
        <v>0.943500222902915</v>
      </c>
      <c r="I25">
        <v>676100</v>
      </c>
      <c r="J25" s="1">
        <f>(D25*I25/H25+O25/N25)/E25/O2</f>
        <v>52159339.39923678</v>
      </c>
      <c r="K25" s="1">
        <f>J25-K20</f>
        <v>25558129.56142909</v>
      </c>
      <c r="L25">
        <v>21861</v>
      </c>
      <c r="M25">
        <v>24437</v>
      </c>
      <c r="N25" s="9">
        <f>L25/M25</f>
        <v>0.8945860784875393</v>
      </c>
      <c r="O25">
        <v>39076</v>
      </c>
    </row>
    <row r="26" spans="1:15" ht="15.75">
      <c r="A26">
        <v>1201</v>
      </c>
      <c r="B26" t="s">
        <v>45</v>
      </c>
      <c r="C26" s="11">
        <v>38.4</v>
      </c>
      <c r="D26">
        <v>10</v>
      </c>
      <c r="E26" s="12">
        <v>0.06676699999999999</v>
      </c>
      <c r="F26">
        <v>623635</v>
      </c>
      <c r="G26" s="8">
        <v>6624020</v>
      </c>
      <c r="H26" s="9">
        <f>D26*F26/G26</f>
        <v>0.9414751163190932</v>
      </c>
      <c r="I26">
        <v>160783</v>
      </c>
      <c r="J26" s="1">
        <f>(D26*I26/H26+O26/N26)/E26/O2</f>
        <v>52201153.32369762</v>
      </c>
      <c r="K26" s="1">
        <f>J26-K20</f>
        <v>25599943.485889927</v>
      </c>
      <c r="L26">
        <v>5793</v>
      </c>
      <c r="M26">
        <v>6419</v>
      </c>
      <c r="N26" s="9">
        <f>L26/M26</f>
        <v>0.9024770213428883</v>
      </c>
      <c r="O26">
        <v>9297</v>
      </c>
    </row>
    <row r="27" spans="1:15" ht="15.75">
      <c r="A27">
        <v>1202</v>
      </c>
      <c r="B27" t="s">
        <v>45</v>
      </c>
      <c r="C27" s="11">
        <v>44.4</v>
      </c>
      <c r="D27">
        <v>10</v>
      </c>
      <c r="E27" s="12">
        <v>0.0561778</v>
      </c>
      <c r="F27">
        <v>525135</v>
      </c>
      <c r="G27" s="8">
        <v>5574240</v>
      </c>
      <c r="H27" s="9">
        <f>D27*F27/G27</f>
        <v>0.942074614655989</v>
      </c>
      <c r="I27">
        <v>135025</v>
      </c>
      <c r="J27" s="1">
        <f>(D27*I27/H27+O27/N27)/E27/O2</f>
        <v>52079884.894521154</v>
      </c>
      <c r="K27" s="1">
        <f>J27-K20</f>
        <v>25478675.056713462</v>
      </c>
      <c r="L27">
        <v>4142</v>
      </c>
      <c r="M27">
        <v>4691</v>
      </c>
      <c r="N27" s="9">
        <f>L27/M27</f>
        <v>0.8829673843530164</v>
      </c>
      <c r="O27">
        <v>7913</v>
      </c>
    </row>
    <row r="28" spans="1:15" ht="15.75">
      <c r="A28">
        <v>1203</v>
      </c>
      <c r="B28" t="s">
        <v>45</v>
      </c>
      <c r="C28" s="11">
        <v>50.1</v>
      </c>
      <c r="D28">
        <v>10</v>
      </c>
      <c r="E28" s="12">
        <v>0.0563829</v>
      </c>
      <c r="F28">
        <v>526389</v>
      </c>
      <c r="G28" s="8">
        <v>5594390</v>
      </c>
      <c r="H28" s="9">
        <f>D28*F28/G28</f>
        <v>0.9409229603227519</v>
      </c>
      <c r="I28">
        <v>135060</v>
      </c>
      <c r="J28" s="1">
        <f>(D28*I28/H28+O28/N28)/E28/O2</f>
        <v>51975002.7284318</v>
      </c>
      <c r="K28" s="1">
        <f>J28-K20</f>
        <v>25373792.890624106</v>
      </c>
      <c r="L28">
        <v>3650</v>
      </c>
      <c r="M28">
        <v>4177</v>
      </c>
      <c r="N28" s="9">
        <f>L28/M28</f>
        <v>0.8738328944218339</v>
      </c>
      <c r="O28">
        <v>8027</v>
      </c>
    </row>
    <row r="29" spans="1:15" ht="15.75">
      <c r="A29">
        <v>1204</v>
      </c>
      <c r="B29" t="s">
        <v>45</v>
      </c>
      <c r="C29" s="11">
        <v>42.4</v>
      </c>
      <c r="D29">
        <v>10</v>
      </c>
      <c r="E29" s="12">
        <v>0.0562157</v>
      </c>
      <c r="F29">
        <v>526403</v>
      </c>
      <c r="G29" s="8">
        <v>5582190</v>
      </c>
      <c r="H29" s="9">
        <f>D29*F29/G29</f>
        <v>0.9430044480750387</v>
      </c>
      <c r="I29">
        <v>135319</v>
      </c>
      <c r="J29" s="1">
        <f>(D29*I29/H29+O29/N29)/E29/O2</f>
        <v>52098436.846555345</v>
      </c>
      <c r="K29" s="1">
        <f>J29-K20</f>
        <v>25497227.008747652</v>
      </c>
      <c r="L29">
        <v>4422</v>
      </c>
      <c r="M29">
        <v>4967</v>
      </c>
      <c r="N29" s="9">
        <f>L29/M29</f>
        <v>0.8902758204147373</v>
      </c>
      <c r="O29">
        <v>7785</v>
      </c>
    </row>
    <row r="30" spans="1:15" ht="15.75">
      <c r="A30">
        <v>1205</v>
      </c>
      <c r="B30" t="s">
        <v>45</v>
      </c>
      <c r="C30" s="11">
        <v>45.6</v>
      </c>
      <c r="D30">
        <v>10</v>
      </c>
      <c r="E30" s="12">
        <v>0.0439738</v>
      </c>
      <c r="F30">
        <v>410771</v>
      </c>
      <c r="G30" s="8">
        <v>4359370</v>
      </c>
      <c r="H30" s="9">
        <f>D30*F30/G30</f>
        <v>0.9422714750067097</v>
      </c>
      <c r="I30">
        <v>105188</v>
      </c>
      <c r="J30" s="1">
        <f>(D30*I30/H30+O30/N30)/E30/O2</f>
        <v>51816525.055906884</v>
      </c>
      <c r="K30" s="1">
        <f>J30-K20</f>
        <v>25215315.21809919</v>
      </c>
      <c r="L30">
        <v>3146</v>
      </c>
      <c r="M30">
        <v>3589</v>
      </c>
      <c r="N30" s="9">
        <f>L30/M30</f>
        <v>0.876567288938423</v>
      </c>
      <c r="O30">
        <v>6042</v>
      </c>
    </row>
    <row r="31" spans="1:15" ht="15.75">
      <c r="A31">
        <v>1206</v>
      </c>
      <c r="B31" t="s">
        <v>45</v>
      </c>
      <c r="C31" s="11">
        <v>48</v>
      </c>
      <c r="D31">
        <v>10</v>
      </c>
      <c r="E31" s="12">
        <v>0.0562757</v>
      </c>
      <c r="F31">
        <v>525161</v>
      </c>
      <c r="G31" s="8">
        <v>5581800</v>
      </c>
      <c r="H31" s="9">
        <f>D31*F31/G31</f>
        <v>0.940845247052922</v>
      </c>
      <c r="I31">
        <v>135433</v>
      </c>
      <c r="J31" s="1">
        <f>(D31*I31/H31+O31/N31)/E31/O2</f>
        <v>52218237.11384899</v>
      </c>
      <c r="K31" s="1">
        <f>J31-K20</f>
        <v>25617027.2760413</v>
      </c>
      <c r="L31">
        <v>3802</v>
      </c>
      <c r="M31">
        <v>4350</v>
      </c>
      <c r="N31" s="9">
        <f>L31/M31</f>
        <v>0.8740229885057471</v>
      </c>
      <c r="O31">
        <v>7957</v>
      </c>
    </row>
    <row r="32" spans="1:15" ht="15.75">
      <c r="A32">
        <v>1207</v>
      </c>
      <c r="B32" t="s">
        <v>45</v>
      </c>
      <c r="C32" s="11">
        <v>48.4</v>
      </c>
      <c r="D32">
        <v>10</v>
      </c>
      <c r="E32" s="12">
        <v>0.056256799999999996</v>
      </c>
      <c r="F32">
        <v>526147</v>
      </c>
      <c r="G32" s="8">
        <v>5589640</v>
      </c>
      <c r="H32" s="9">
        <f>D32*F32/G32</f>
        <v>0.941289600045799</v>
      </c>
      <c r="I32">
        <v>136367</v>
      </c>
      <c r="J32" s="1">
        <f>(D32*I32/H32+O32/N32)/E32/O2</f>
        <v>52562417.09494642</v>
      </c>
      <c r="K32" s="1">
        <f>J32-K20</f>
        <v>25961207.25713873</v>
      </c>
      <c r="L32">
        <v>3784</v>
      </c>
      <c r="M32">
        <v>4323</v>
      </c>
      <c r="N32" s="9">
        <f>L32/M32</f>
        <v>0.8753180661577609</v>
      </c>
      <c r="O32">
        <v>7807</v>
      </c>
    </row>
    <row r="33" spans="1:15" ht="15.75">
      <c r="A33">
        <v>1208</v>
      </c>
      <c r="B33" t="s">
        <v>45</v>
      </c>
      <c r="C33" s="11">
        <v>48.4</v>
      </c>
      <c r="D33">
        <v>10</v>
      </c>
      <c r="E33" s="12">
        <v>0.056365099999999994</v>
      </c>
      <c r="F33">
        <v>525044</v>
      </c>
      <c r="G33" s="8">
        <v>5609040</v>
      </c>
      <c r="H33" s="9">
        <f>D33*F33/G33</f>
        <v>0.9360674910501618</v>
      </c>
      <c r="I33">
        <v>134868</v>
      </c>
      <c r="J33" s="1">
        <f>(D33*I33/H33+O33/N33)/E33/O2</f>
        <v>52180876.890521206</v>
      </c>
      <c r="K33" s="1">
        <f>J33-K20</f>
        <v>25579667.052713513</v>
      </c>
      <c r="L33">
        <v>3750</v>
      </c>
      <c r="M33">
        <v>4291</v>
      </c>
      <c r="N33" s="9">
        <f>L33/M33</f>
        <v>0.8739221626660452</v>
      </c>
      <c r="O33">
        <v>7914</v>
      </c>
    </row>
    <row r="34" spans="1:15" ht="15.75">
      <c r="A34">
        <v>1209</v>
      </c>
      <c r="B34" t="s">
        <v>45</v>
      </c>
      <c r="C34" s="11">
        <v>50.3</v>
      </c>
      <c r="D34">
        <v>10</v>
      </c>
      <c r="E34" s="12">
        <v>0.0563576</v>
      </c>
      <c r="F34">
        <v>523844</v>
      </c>
      <c r="G34" s="8">
        <v>5613220</v>
      </c>
      <c r="H34" s="9">
        <f>D34*F34/G34</f>
        <v>0.9332326187108291</v>
      </c>
      <c r="I34">
        <v>134385</v>
      </c>
      <c r="J34" s="1">
        <f>(D34*I34/H34+O34/N34)/E34/O2</f>
        <v>52160122.245854504</v>
      </c>
      <c r="K34" s="1">
        <f>J34-K20</f>
        <v>25558912.40804681</v>
      </c>
      <c r="L34">
        <v>3647</v>
      </c>
      <c r="M34">
        <v>4163</v>
      </c>
      <c r="N34" s="9">
        <f>L34/M34</f>
        <v>0.8760509248138362</v>
      </c>
      <c r="O34">
        <v>7959</v>
      </c>
    </row>
    <row r="35" spans="1:15" ht="15.75">
      <c r="A35">
        <v>1210</v>
      </c>
      <c r="B35" t="s">
        <v>45</v>
      </c>
      <c r="C35" s="11">
        <v>45.8</v>
      </c>
      <c r="D35">
        <v>10</v>
      </c>
      <c r="E35" s="12">
        <v>0.0560381</v>
      </c>
      <c r="F35">
        <v>519475</v>
      </c>
      <c r="G35" s="8">
        <v>5563680</v>
      </c>
      <c r="H35" s="9">
        <f>D35*F35/G35</f>
        <v>0.933689572369367</v>
      </c>
      <c r="I35">
        <v>131566</v>
      </c>
      <c r="J35" s="1">
        <f>(D35*I35/H35+O35/N35)/E35/O2</f>
        <v>51342904.14718679</v>
      </c>
      <c r="K35" s="1">
        <f>J35-K20</f>
        <v>24741694.3093791</v>
      </c>
      <c r="L35">
        <v>4034</v>
      </c>
      <c r="M35">
        <v>4542</v>
      </c>
      <c r="N35" s="9">
        <f>L35/M35</f>
        <v>0.8881549977983267</v>
      </c>
      <c r="O35">
        <v>8164</v>
      </c>
    </row>
    <row r="36" spans="1:15" ht="15.75">
      <c r="A36">
        <v>1211</v>
      </c>
      <c r="B36" t="s">
        <v>45</v>
      </c>
      <c r="C36" s="11">
        <v>50.4</v>
      </c>
      <c r="D36">
        <v>10</v>
      </c>
      <c r="E36" s="12">
        <v>0.055869699999999994</v>
      </c>
      <c r="F36">
        <v>515882</v>
      </c>
      <c r="G36" s="8">
        <v>5535290</v>
      </c>
      <c r="H36" s="9">
        <f>D36*F36/G36</f>
        <v>0.9319873032849227</v>
      </c>
      <c r="I36">
        <v>130041</v>
      </c>
      <c r="J36" s="1">
        <f>(D36*I36/H36+O36/N36)/E36/O2</f>
        <v>51010562.6093245</v>
      </c>
      <c r="K36" s="1">
        <f>J36-K20</f>
        <v>24409352.771516807</v>
      </c>
      <c r="L36">
        <v>3560</v>
      </c>
      <c r="M36">
        <v>4113</v>
      </c>
      <c r="N36" s="9">
        <f>L36/M36</f>
        <v>0.8655482616095308</v>
      </c>
      <c r="O36">
        <v>8280</v>
      </c>
    </row>
    <row r="37" spans="1:15" ht="15.75">
      <c r="A37">
        <v>1212</v>
      </c>
      <c r="B37" t="s">
        <v>45</v>
      </c>
      <c r="C37" s="11">
        <v>57.7</v>
      </c>
      <c r="D37">
        <v>10</v>
      </c>
      <c r="E37" s="12">
        <v>0.056123099999999995</v>
      </c>
      <c r="F37">
        <v>517139</v>
      </c>
      <c r="G37" s="8">
        <v>5566120</v>
      </c>
      <c r="H37" s="9">
        <f>D37*F37/G37</f>
        <v>0.929083454902158</v>
      </c>
      <c r="I37">
        <v>130685</v>
      </c>
      <c r="K37" s="1">
        <f>J37-K20</f>
        <v>-26601209.837807693</v>
      </c>
      <c r="L37">
        <v>3084</v>
      </c>
      <c r="M37">
        <v>3615</v>
      </c>
      <c r="N37" s="9">
        <f>L37/M37</f>
        <v>0.8531120331950207</v>
      </c>
      <c r="O37">
        <v>8187</v>
      </c>
    </row>
    <row r="39" spans="1:15" ht="15.75">
      <c r="A39" t="s">
        <v>27</v>
      </c>
      <c r="B39" t="s">
        <v>28</v>
      </c>
      <c r="C39" t="s">
        <v>1</v>
      </c>
      <c r="D39" t="s">
        <v>29</v>
      </c>
      <c r="E39" t="s">
        <v>30</v>
      </c>
      <c r="F39" t="s">
        <v>31</v>
      </c>
      <c r="G39" t="s">
        <v>32</v>
      </c>
      <c r="H39" t="s">
        <v>33</v>
      </c>
      <c r="I39" t="s">
        <v>34</v>
      </c>
      <c r="J39" s="1" t="s">
        <v>35</v>
      </c>
      <c r="K39" t="s">
        <v>36</v>
      </c>
      <c r="L39" t="s">
        <v>37</v>
      </c>
      <c r="M39" t="s">
        <v>38</v>
      </c>
      <c r="N39" t="s">
        <v>39</v>
      </c>
      <c r="O39" t="s">
        <v>40</v>
      </c>
    </row>
    <row r="40" spans="1:13" ht="15.75">
      <c r="A40" s="13" t="s">
        <v>48</v>
      </c>
      <c r="B40" s="13"/>
      <c r="C40" s="13"/>
      <c r="D40" s="13"/>
      <c r="E40" s="13"/>
      <c r="F40" s="13"/>
      <c r="G40" s="13"/>
      <c r="H40" s="13"/>
      <c r="I40" s="13"/>
      <c r="J40" s="14"/>
      <c r="K40" s="13" t="s">
        <v>43</v>
      </c>
      <c r="L40" s="13"/>
      <c r="M40" s="13"/>
    </row>
    <row r="41" spans="1:13" ht="15.75">
      <c r="A41" s="15" t="s">
        <v>49</v>
      </c>
      <c r="B41" s="15"/>
      <c r="C41" s="15"/>
      <c r="D41" s="15"/>
      <c r="E41" s="15"/>
      <c r="F41" s="15"/>
      <c r="G41" s="15"/>
      <c r="H41" s="15"/>
      <c r="I41" s="15"/>
      <c r="J41" s="16"/>
      <c r="K41" s="15"/>
      <c r="L41" s="15"/>
      <c r="M41" s="15"/>
    </row>
    <row r="42" spans="1:13" ht="15.75">
      <c r="A42" s="15" t="s">
        <v>50</v>
      </c>
      <c r="B42" s="17">
        <f>0.006*0.006/(0.0102*0.0087)</f>
        <v>0.4056795131845841</v>
      </c>
      <c r="C42" s="15"/>
      <c r="D42" s="15"/>
      <c r="E42" s="15"/>
      <c r="F42" s="15"/>
      <c r="G42" s="15"/>
      <c r="H42" s="15"/>
      <c r="I42" s="15"/>
      <c r="J42" s="16"/>
      <c r="K42" s="15"/>
      <c r="L42" s="15"/>
      <c r="M42" s="15"/>
    </row>
    <row r="43" spans="1:15" ht="15.75">
      <c r="A43" s="18">
        <v>1230</v>
      </c>
      <c r="B43" t="s">
        <v>44</v>
      </c>
      <c r="C43">
        <v>45.9</v>
      </c>
      <c r="D43">
        <v>10</v>
      </c>
      <c r="E43" s="12">
        <v>0.16716799999999998</v>
      </c>
      <c r="F43">
        <v>1324107</v>
      </c>
      <c r="G43" s="8">
        <v>13663400</v>
      </c>
      <c r="H43" s="10">
        <f>D43*F43/G43</f>
        <v>0.9690904167337558</v>
      </c>
      <c r="I43" s="1">
        <v>317595</v>
      </c>
      <c r="J43" s="1">
        <f>(D43*I43/H43+O43/N43)/E43/0.406</f>
        <v>48806174.31766588</v>
      </c>
      <c r="K43" s="1">
        <f>J43*G5/G2</f>
        <v>48893536.20486935</v>
      </c>
      <c r="L43">
        <v>12411</v>
      </c>
      <c r="M43">
        <v>13464</v>
      </c>
      <c r="N43" s="10">
        <f>L43/M43</f>
        <v>0.9217914438502673</v>
      </c>
      <c r="O43">
        <v>32481</v>
      </c>
    </row>
    <row r="44" spans="8:14" ht="15.75">
      <c r="H44" s="10" t="e">
        <f>D44*F44/G44</f>
        <v>#DIV/0!</v>
      </c>
      <c r="J44" s="1" t="e">
        <f>(D44*I44/H44+O44/N44)/E44/O2</f>
        <v>#DIV/0!</v>
      </c>
      <c r="N44" s="10" t="e">
        <f>L44/M44</f>
        <v>#DIV/0!</v>
      </c>
    </row>
    <row r="45" spans="1:14" ht="15.75">
      <c r="A45" t="s">
        <v>51</v>
      </c>
      <c r="H45" s="10"/>
      <c r="N45" s="10"/>
    </row>
    <row r="46" spans="1:14" ht="15.75">
      <c r="A46" t="s">
        <v>50</v>
      </c>
      <c r="B46" s="9">
        <f>0.004*0.006/(0.0074*0.0078)</f>
        <v>0.41580041580041577</v>
      </c>
      <c r="H46" s="10"/>
      <c r="N46" s="10"/>
    </row>
    <row r="47" spans="1:15" ht="15.75">
      <c r="A47" s="19">
        <v>1518</v>
      </c>
      <c r="B47" t="s">
        <v>44</v>
      </c>
      <c r="C47" s="11">
        <v>36</v>
      </c>
      <c r="D47">
        <v>8</v>
      </c>
      <c r="E47">
        <v>0.06431139999999999</v>
      </c>
      <c r="F47">
        <v>519340</v>
      </c>
      <c r="G47" s="8">
        <v>4334660</v>
      </c>
      <c r="H47" s="10">
        <f>D47*F47/G47</f>
        <v>0.9584880936451763</v>
      </c>
      <c r="I47">
        <v>153643</v>
      </c>
      <c r="J47" s="1">
        <f>(D47*I47/H47+O47/N47)/E47/0.416</f>
        <v>48444083.32404074</v>
      </c>
      <c r="K47" s="1">
        <f>J47*G5/G2</f>
        <v>48530797.077007405</v>
      </c>
      <c r="L47">
        <v>6106</v>
      </c>
      <c r="M47">
        <v>6606</v>
      </c>
      <c r="N47" s="10">
        <f>L47/M47</f>
        <v>0.9243112322131396</v>
      </c>
      <c r="O47">
        <v>12638</v>
      </c>
    </row>
    <row r="48" spans="1:15" ht="15.75">
      <c r="A48" t="s">
        <v>52</v>
      </c>
      <c r="C48" s="11"/>
      <c r="G48" s="8"/>
      <c r="H48" s="10"/>
      <c r="I48">
        <v>43290</v>
      </c>
      <c r="K48" s="10"/>
      <c r="N48" s="10"/>
      <c r="O48">
        <v>3552</v>
      </c>
    </row>
    <row r="49" spans="1:15" ht="15.75">
      <c r="A49" t="s">
        <v>53</v>
      </c>
      <c r="C49" s="11"/>
      <c r="G49" s="8"/>
      <c r="H49" s="10"/>
      <c r="I49">
        <v>52503</v>
      </c>
      <c r="K49" s="10"/>
      <c r="N49" s="10"/>
      <c r="O49">
        <v>4358</v>
      </c>
    </row>
    <row r="50" spans="1:15" ht="15.75">
      <c r="A50" t="s">
        <v>54</v>
      </c>
      <c r="C50" s="11"/>
      <c r="G50" s="8"/>
      <c r="H50" s="10"/>
      <c r="I50">
        <v>44368</v>
      </c>
      <c r="K50" s="10"/>
      <c r="N50" s="10"/>
      <c r="O50">
        <v>3584</v>
      </c>
    </row>
    <row r="51" spans="1:15" ht="15.75">
      <c r="A51" t="s">
        <v>55</v>
      </c>
      <c r="C51" s="11"/>
      <c r="G51" s="8"/>
      <c r="H51" s="10"/>
      <c r="I51">
        <v>52628</v>
      </c>
      <c r="K51" s="10"/>
      <c r="N51" s="10"/>
      <c r="O51">
        <v>4334</v>
      </c>
    </row>
    <row r="52" spans="3:14" ht="15.75">
      <c r="C52" s="11"/>
      <c r="G52" s="8"/>
      <c r="H52" s="10"/>
      <c r="K52" s="10"/>
      <c r="N52" s="10"/>
    </row>
    <row r="53" spans="1:15" ht="15.75">
      <c r="A53" s="18">
        <v>1519</v>
      </c>
      <c r="B53" t="s">
        <v>44</v>
      </c>
      <c r="C53" s="11">
        <v>36</v>
      </c>
      <c r="D53">
        <v>8</v>
      </c>
      <c r="E53">
        <v>0.040319</v>
      </c>
      <c r="F53">
        <v>326059</v>
      </c>
      <c r="G53" s="8">
        <v>2714650</v>
      </c>
      <c r="H53" s="10">
        <f>D53*F53/G53</f>
        <v>0.9608870388447867</v>
      </c>
      <c r="I53">
        <v>97101</v>
      </c>
      <c r="J53" s="1">
        <f>(D53*I53/H53+O53/N53)/E53/0.416</f>
        <v>48709525.07527988</v>
      </c>
      <c r="K53" s="1">
        <f>J53*G5/G2</f>
        <v>48796713.96264614</v>
      </c>
      <c r="L53">
        <v>3849</v>
      </c>
      <c r="M53">
        <v>4167</v>
      </c>
      <c r="N53" s="10">
        <f>L53/M53</f>
        <v>0.9236861051115911</v>
      </c>
      <c r="O53">
        <v>7909</v>
      </c>
    </row>
    <row r="54" spans="1:15" ht="15.75">
      <c r="A54" s="18">
        <v>1520</v>
      </c>
      <c r="B54" t="s">
        <v>47</v>
      </c>
      <c r="C54" s="11">
        <v>32</v>
      </c>
      <c r="D54">
        <v>8</v>
      </c>
      <c r="E54">
        <v>0.0153399</v>
      </c>
      <c r="F54">
        <v>115712</v>
      </c>
      <c r="G54">
        <v>956593</v>
      </c>
      <c r="H54" s="10">
        <f>D54*F54/G54</f>
        <v>0.9677009971848006</v>
      </c>
      <c r="I54">
        <v>95285</v>
      </c>
      <c r="J54" s="1">
        <f>(D54*I54/H54+O54/N54)/E54</f>
        <v>51911346.04873687</v>
      </c>
      <c r="K54" s="1">
        <f>J54*G5/G2</f>
        <v>52004266.119229846</v>
      </c>
      <c r="L54">
        <v>1667</v>
      </c>
      <c r="M54">
        <v>1811</v>
      </c>
      <c r="N54" s="10">
        <f>L54/M54</f>
        <v>0.9204859193815571</v>
      </c>
      <c r="O54">
        <v>7909</v>
      </c>
    </row>
    <row r="55" spans="1:15" ht="15.75">
      <c r="A55" s="20">
        <v>1512</v>
      </c>
      <c r="B55" t="s">
        <v>56</v>
      </c>
      <c r="C55" s="11">
        <v>37</v>
      </c>
      <c r="D55">
        <v>20</v>
      </c>
      <c r="E55">
        <v>0.058528899999999995</v>
      </c>
      <c r="F55">
        <v>482090</v>
      </c>
      <c r="G55" s="8">
        <v>10128200</v>
      </c>
      <c r="H55" s="10">
        <f>D55*F55/G55</f>
        <v>0.9519756718864162</v>
      </c>
      <c r="I55">
        <v>147826</v>
      </c>
      <c r="J55" s="1">
        <f>(D55*I55/H55+O55/N55)/E55/0.416</f>
        <v>128563191.39764598</v>
      </c>
      <c r="K55" s="1">
        <f>J55-48800000*0.82</f>
        <v>88547191.39764598</v>
      </c>
      <c r="L55">
        <v>5329</v>
      </c>
      <c r="M55">
        <v>5868</v>
      </c>
      <c r="N55" s="10">
        <f>L55/M55</f>
        <v>0.908145875937287</v>
      </c>
      <c r="O55">
        <v>22333</v>
      </c>
    </row>
    <row r="56" spans="1:15" ht="15.75">
      <c r="A56" s="20">
        <v>1513</v>
      </c>
      <c r="B56" t="s">
        <v>56</v>
      </c>
      <c r="C56" s="11">
        <v>37</v>
      </c>
      <c r="D56">
        <v>20</v>
      </c>
      <c r="E56">
        <v>0.058539799999999996</v>
      </c>
      <c r="F56">
        <v>482487</v>
      </c>
      <c r="G56" s="8">
        <v>10138900</v>
      </c>
      <c r="H56" s="10">
        <f>D56*F56/G56</f>
        <v>0.9517541350639616</v>
      </c>
      <c r="I56">
        <v>148058</v>
      </c>
      <c r="J56" s="1">
        <f>(D56*I56/H56+O56/N56)/E56/0.416</f>
        <v>128755144.95055164</v>
      </c>
      <c r="K56" s="1">
        <f>J56-48800000*0.82</f>
        <v>88739144.95055164</v>
      </c>
      <c r="L56">
        <v>5259</v>
      </c>
      <c r="M56">
        <v>5789</v>
      </c>
      <c r="N56" s="10">
        <f>L56/M56</f>
        <v>0.9084470547590258</v>
      </c>
      <c r="O56">
        <v>22031</v>
      </c>
    </row>
    <row r="57" spans="1:15" ht="15.75">
      <c r="A57" s="20">
        <v>1514</v>
      </c>
      <c r="B57" t="s">
        <v>56</v>
      </c>
      <c r="C57" s="11">
        <v>36</v>
      </c>
      <c r="D57">
        <v>20</v>
      </c>
      <c r="E57">
        <v>0.057657599999999996</v>
      </c>
      <c r="F57">
        <v>475659</v>
      </c>
      <c r="G57" s="8">
        <v>9986560</v>
      </c>
      <c r="H57" s="10">
        <f>D57*F57/G57</f>
        <v>0.9525982921045886</v>
      </c>
      <c r="I57">
        <v>146032</v>
      </c>
      <c r="J57" s="1">
        <f>(D57*I57/H57+O57/N57)/E57/0.416</f>
        <v>128822688.75067791</v>
      </c>
      <c r="K57" s="1">
        <f>J57-48800000*0.82</f>
        <v>88806688.75067791</v>
      </c>
      <c r="L57">
        <v>5383</v>
      </c>
      <c r="M57">
        <v>5907</v>
      </c>
      <c r="N57" s="10">
        <f>L57/M57</f>
        <v>0.9112916878280006</v>
      </c>
      <c r="O57">
        <v>21791</v>
      </c>
    </row>
    <row r="58" spans="1:15" ht="15.75">
      <c r="A58" s="20">
        <v>1515</v>
      </c>
      <c r="B58" t="s">
        <v>56</v>
      </c>
      <c r="C58" s="11">
        <v>38</v>
      </c>
      <c r="D58">
        <v>20</v>
      </c>
      <c r="E58">
        <v>0.0585018</v>
      </c>
      <c r="F58">
        <v>482688</v>
      </c>
      <c r="G58" s="8">
        <v>10142600</v>
      </c>
      <c r="H58" s="10">
        <f>D58*F58/G58</f>
        <v>0.9518032851537082</v>
      </c>
      <c r="I58">
        <v>148111</v>
      </c>
      <c r="J58" s="1">
        <f>(D58*I58/H58+O58/N58)/E58/0.416</f>
        <v>128893883.36733606</v>
      </c>
      <c r="K58" s="1">
        <f>J58-48800000*0.82</f>
        <v>88877883.36733606</v>
      </c>
      <c r="L58">
        <v>5165</v>
      </c>
      <c r="M58">
        <v>5714</v>
      </c>
      <c r="N58" s="10">
        <f>L58/M58</f>
        <v>0.9039201960098004</v>
      </c>
      <c r="O58">
        <v>22272</v>
      </c>
    </row>
    <row r="59" spans="1:15" ht="15.75">
      <c r="A59" s="20">
        <v>1516</v>
      </c>
      <c r="B59" t="s">
        <v>56</v>
      </c>
      <c r="C59" s="11">
        <v>35</v>
      </c>
      <c r="D59">
        <v>20</v>
      </c>
      <c r="E59">
        <v>0.0583871</v>
      </c>
      <c r="F59">
        <v>481883</v>
      </c>
      <c r="G59" s="8">
        <v>10121900</v>
      </c>
      <c r="H59" s="10">
        <f>D59*F59/G59</f>
        <v>0.9521591796006679</v>
      </c>
      <c r="I59">
        <v>147901</v>
      </c>
      <c r="J59" s="1">
        <f>(D59*I59/H59+O59/N59)/E59/0.416</f>
        <v>128898864.86575565</v>
      </c>
      <c r="K59" s="1">
        <f>J59-48800000*0.82</f>
        <v>88882864.86575565</v>
      </c>
      <c r="L59">
        <v>5682</v>
      </c>
      <c r="M59">
        <v>6176</v>
      </c>
      <c r="N59" s="10">
        <f>L59/M59</f>
        <v>0.9200129533678757</v>
      </c>
      <c r="O59">
        <v>22250</v>
      </c>
    </row>
    <row r="60" spans="1:15" ht="15.75">
      <c r="A60" s="20">
        <v>1517</v>
      </c>
      <c r="B60" t="s">
        <v>56</v>
      </c>
      <c r="C60" s="11">
        <v>40</v>
      </c>
      <c r="D60">
        <v>20</v>
      </c>
      <c r="E60">
        <v>0.058495899999999997</v>
      </c>
      <c r="F60">
        <v>482594</v>
      </c>
      <c r="G60" s="8">
        <v>10138600</v>
      </c>
      <c r="H60" s="10">
        <f>D60*F60/G60</f>
        <v>0.9519933718659381</v>
      </c>
      <c r="I60">
        <v>147560</v>
      </c>
      <c r="J60" s="1">
        <f>(D60*I60/H60+O60/N60)/E60/0.416</f>
        <v>128409246.2371062</v>
      </c>
      <c r="K60" s="1">
        <f>J60-48800000*0.82</f>
        <v>88393246.2371062</v>
      </c>
      <c r="L60">
        <v>4908</v>
      </c>
      <c r="M60">
        <v>5428</v>
      </c>
      <c r="N60" s="10">
        <f>L60/M60</f>
        <v>0.9042004421518055</v>
      </c>
      <c r="O60">
        <v>22358</v>
      </c>
    </row>
    <row r="61" spans="1:14" ht="15.75">
      <c r="A61" s="11" t="s">
        <v>57</v>
      </c>
      <c r="C61" s="11"/>
      <c r="H61" s="10"/>
      <c r="J61" s="1" t="s">
        <v>58</v>
      </c>
      <c r="K61" s="1">
        <f>SUM(K55:K60)/6</f>
        <v>88707836.59484558</v>
      </c>
      <c r="N61" s="10" t="e">
        <f>L61/M61</f>
        <v>#DIV/0!</v>
      </c>
    </row>
    <row r="62" spans="1:14" ht="15.75">
      <c r="A62" s="11" t="s">
        <v>50</v>
      </c>
      <c r="B62" s="9">
        <f>0.004*0.006/0.0073/0.007</f>
        <v>0.4696673189823875</v>
      </c>
      <c r="C62" s="11"/>
      <c r="H62" s="10"/>
      <c r="K62" s="1"/>
      <c r="N62" s="10"/>
    </row>
    <row r="63" spans="1:15" ht="15.75">
      <c r="A63" s="20">
        <v>1721</v>
      </c>
      <c r="C63" s="11">
        <v>10</v>
      </c>
      <c r="D63">
        <v>20</v>
      </c>
      <c r="E63">
        <v>0.00584281</v>
      </c>
      <c r="F63">
        <v>49856</v>
      </c>
      <c r="G63" s="8">
        <v>1011720</v>
      </c>
      <c r="H63" s="10">
        <f>D63*F63/G63</f>
        <v>0.9855691297987585</v>
      </c>
      <c r="I63">
        <v>17865</v>
      </c>
      <c r="J63" s="1">
        <f>(D63*I63/H63+O63/N63)/E63/0.47</f>
        <v>132890597.52760546</v>
      </c>
      <c r="K63" s="1">
        <f>J63-48800000*0.82</f>
        <v>92874597.52760546</v>
      </c>
      <c r="L63">
        <v>2156</v>
      </c>
      <c r="M63">
        <v>2237</v>
      </c>
      <c r="N63" s="10">
        <f>L63/M63</f>
        <v>0.9637907912382655</v>
      </c>
      <c r="O63">
        <v>2315</v>
      </c>
    </row>
    <row r="64" spans="1:15" ht="15.75">
      <c r="A64" s="20">
        <v>1722</v>
      </c>
      <c r="C64" s="11">
        <v>14</v>
      </c>
      <c r="D64">
        <v>20</v>
      </c>
      <c r="E64">
        <v>0.0084797</v>
      </c>
      <c r="F64">
        <v>71972</v>
      </c>
      <c r="G64" s="8">
        <v>1477300</v>
      </c>
      <c r="H64" s="10">
        <f>D64*F64/G64</f>
        <v>0.9743721654369458</v>
      </c>
      <c r="I64">
        <v>25327</v>
      </c>
      <c r="J64" s="1">
        <f>(D64*I64/H64+O64/N64)/E64/0.47</f>
        <v>131341696.8536922</v>
      </c>
      <c r="K64" s="1">
        <f>J64-48800000*0.82</f>
        <v>91325696.8536922</v>
      </c>
      <c r="L64">
        <v>2115</v>
      </c>
      <c r="M64">
        <v>2220</v>
      </c>
      <c r="N64" s="10">
        <f>L64/M64</f>
        <v>0.9527027027027027</v>
      </c>
      <c r="O64">
        <v>3424</v>
      </c>
    </row>
    <row r="65" spans="1:15" ht="15.75">
      <c r="A65" s="20">
        <v>1723</v>
      </c>
      <c r="C65" s="11">
        <v>40</v>
      </c>
      <c r="D65">
        <v>20</v>
      </c>
      <c r="E65">
        <v>0.055189499999999996</v>
      </c>
      <c r="F65">
        <v>453538</v>
      </c>
      <c r="G65" s="8">
        <v>9589430</v>
      </c>
      <c r="H65" s="10">
        <f>D65*F65/G65</f>
        <v>0.9459123222131034</v>
      </c>
      <c r="I65">
        <v>160581</v>
      </c>
      <c r="J65" s="1">
        <f>(D65*I65/H65+O65/N65)/E65/0.47</f>
        <v>131936814.14679681</v>
      </c>
      <c r="K65" s="1">
        <f>J65-48800000*0.82</f>
        <v>91920814.14679681</v>
      </c>
      <c r="L65">
        <v>4580</v>
      </c>
      <c r="M65">
        <v>5081</v>
      </c>
      <c r="N65" s="10">
        <f>L65/M65</f>
        <v>0.9013973627238733</v>
      </c>
      <c r="O65">
        <v>24388</v>
      </c>
    </row>
    <row r="66" spans="1:15" ht="15.75">
      <c r="A66" s="20">
        <v>1724</v>
      </c>
      <c r="C66" s="11">
        <v>39</v>
      </c>
      <c r="D66">
        <v>20</v>
      </c>
      <c r="E66">
        <v>0.055243299999999995</v>
      </c>
      <c r="F66">
        <v>453977</v>
      </c>
      <c r="G66" s="8">
        <v>9601260</v>
      </c>
      <c r="H66" s="10">
        <f>D66*F66/G66</f>
        <v>0.9456612986212226</v>
      </c>
      <c r="I66">
        <v>160464</v>
      </c>
      <c r="J66" s="1">
        <f>(D66*I66/H66+O66/N66)/E66/0.47</f>
        <v>131753967.64177984</v>
      </c>
      <c r="K66" s="1">
        <f>J66-48800000*0.82</f>
        <v>91737967.64177984</v>
      </c>
      <c r="L66">
        <v>4724</v>
      </c>
      <c r="M66">
        <v>5268</v>
      </c>
      <c r="N66" s="10">
        <f>L66/M66</f>
        <v>0.8967350037965072</v>
      </c>
      <c r="O66">
        <v>24407</v>
      </c>
    </row>
    <row r="67" spans="1:15" ht="15.75">
      <c r="A67" s="20">
        <v>1725</v>
      </c>
      <c r="C67" s="11">
        <v>24</v>
      </c>
      <c r="D67">
        <v>20</v>
      </c>
      <c r="E67">
        <v>0.0547485</v>
      </c>
      <c r="F67">
        <v>452452</v>
      </c>
      <c r="G67" s="8">
        <v>9544150</v>
      </c>
      <c r="H67" s="10">
        <f>D67*F67/G67</f>
        <v>0.9481242436466317</v>
      </c>
      <c r="I67">
        <v>159603</v>
      </c>
      <c r="J67" s="1">
        <f>(D67*I67/H67+O67/N67)/E67/0.47</f>
        <v>131841863.5625901</v>
      </c>
      <c r="K67" s="1">
        <f>J67-48800000*0.82</f>
        <v>91825863.5625901</v>
      </c>
      <c r="L67">
        <v>7932</v>
      </c>
      <c r="M67">
        <v>8461</v>
      </c>
      <c r="N67" s="10">
        <f>L67/M67</f>
        <v>0.9374778394988772</v>
      </c>
      <c r="O67">
        <v>24203</v>
      </c>
    </row>
    <row r="68" spans="1:15" ht="15.75">
      <c r="A68" s="20">
        <v>1726</v>
      </c>
      <c r="C68" s="11">
        <v>40</v>
      </c>
      <c r="D68">
        <v>20</v>
      </c>
      <c r="E68">
        <v>0.0553236</v>
      </c>
      <c r="F68">
        <v>454491</v>
      </c>
      <c r="G68" s="8">
        <v>9612870</v>
      </c>
      <c r="H68" s="10">
        <f>D68*F68/G68</f>
        <v>0.9455885703229109</v>
      </c>
      <c r="I68">
        <v>161220</v>
      </c>
      <c r="J68" s="1">
        <f>(D68*I68/H68+O68/N68)/E68/0.47</f>
        <v>132190495.30062225</v>
      </c>
      <c r="K68" s="1">
        <f>J68-48800000*0.82</f>
        <v>92174495.30062225</v>
      </c>
      <c r="L68">
        <v>4570</v>
      </c>
      <c r="M68">
        <v>5106</v>
      </c>
      <c r="N68" s="10">
        <f>L68/M68</f>
        <v>0.8950254602428516</v>
      </c>
      <c r="O68">
        <v>24425</v>
      </c>
    </row>
    <row r="69" spans="1:14" ht="15.75">
      <c r="A69" s="11"/>
      <c r="C69" s="11"/>
      <c r="H69" s="10"/>
      <c r="J69" s="1" t="s">
        <v>58</v>
      </c>
      <c r="K69" s="1">
        <f>SUM(K63:K68)/6</f>
        <v>91976572.50551444</v>
      </c>
      <c r="N69" s="10"/>
    </row>
    <row r="70" spans="1:15" ht="15.75">
      <c r="A70" t="s">
        <v>27</v>
      </c>
      <c r="B70" t="s">
        <v>28</v>
      </c>
      <c r="C70" t="s">
        <v>1</v>
      </c>
      <c r="D70" t="s">
        <v>29</v>
      </c>
      <c r="E70" t="s">
        <v>30</v>
      </c>
      <c r="F70" t="s">
        <v>31</v>
      </c>
      <c r="G70" t="s">
        <v>32</v>
      </c>
      <c r="H70" t="s">
        <v>33</v>
      </c>
      <c r="I70" t="s">
        <v>34</v>
      </c>
      <c r="J70" s="1" t="s">
        <v>35</v>
      </c>
      <c r="K70" t="s">
        <v>36</v>
      </c>
      <c r="L70" t="s">
        <v>37</v>
      </c>
      <c r="M70" t="s">
        <v>38</v>
      </c>
      <c r="N70" t="s">
        <v>39</v>
      </c>
      <c r="O70" t="s">
        <v>40</v>
      </c>
    </row>
    <row r="71" spans="1:9" ht="15.75">
      <c r="A71" s="13" t="s">
        <v>59</v>
      </c>
      <c r="B71" s="13"/>
      <c r="C71" s="13"/>
      <c r="D71" s="13"/>
      <c r="E71" s="13"/>
      <c r="F71" s="13"/>
      <c r="G71" s="13"/>
      <c r="H71" s="21"/>
      <c r="I71" s="13"/>
    </row>
    <row r="72" spans="1:8" ht="15.75">
      <c r="A72" t="s">
        <v>50</v>
      </c>
      <c r="B72" s="9">
        <f>0.005*0.005/(0.0075*0.007)</f>
        <v>0.4761904761904762</v>
      </c>
      <c r="H72" s="10"/>
    </row>
    <row r="73" spans="1:15" ht="15.75">
      <c r="A73" s="19">
        <v>1610</v>
      </c>
      <c r="B73" t="s">
        <v>44</v>
      </c>
      <c r="C73">
        <v>36</v>
      </c>
      <c r="D73">
        <v>19</v>
      </c>
      <c r="E73">
        <v>0.114674</v>
      </c>
      <c r="F73">
        <v>390839</v>
      </c>
      <c r="G73" s="8">
        <v>7488020</v>
      </c>
      <c r="H73" s="10">
        <f>D73*F73/G73</f>
        <v>0.9917095573996865</v>
      </c>
      <c r="I73">
        <v>143512</v>
      </c>
      <c r="J73" s="1">
        <f>(D73*I73/H73+O73/N73)/E73/0.476</f>
        <v>50515623.86715814</v>
      </c>
      <c r="K73" s="1">
        <f>J73*G5/G2</f>
        <v>50606045.62825688</v>
      </c>
      <c r="L73">
        <v>11631</v>
      </c>
      <c r="M73">
        <v>11959</v>
      </c>
      <c r="N73" s="10">
        <f>L73/M73</f>
        <v>0.972572957605151</v>
      </c>
      <c r="O73">
        <v>7648</v>
      </c>
    </row>
    <row r="74" spans="1:15" ht="15.75">
      <c r="A74" t="s">
        <v>60</v>
      </c>
      <c r="G74" s="8"/>
      <c r="H74" s="10"/>
      <c r="N74" s="10"/>
      <c r="O74">
        <v>2043</v>
      </c>
    </row>
    <row r="75" spans="1:15" ht="15.75">
      <c r="A75" t="s">
        <v>61</v>
      </c>
      <c r="G75" s="8"/>
      <c r="H75" s="10"/>
      <c r="N75" s="10"/>
      <c r="O75">
        <v>2552</v>
      </c>
    </row>
    <row r="76" spans="1:15" ht="15.75">
      <c r="A76" t="s">
        <v>62</v>
      </c>
      <c r="G76" s="8"/>
      <c r="H76" s="10"/>
      <c r="N76" s="10"/>
      <c r="O76">
        <v>2062</v>
      </c>
    </row>
    <row r="77" spans="1:15" ht="15.75">
      <c r="A77" t="s">
        <v>63</v>
      </c>
      <c r="G77" s="8"/>
      <c r="H77" s="10"/>
      <c r="N77" s="10"/>
      <c r="O77">
        <v>2518</v>
      </c>
    </row>
    <row r="78" spans="7:15" ht="15.75">
      <c r="G78" s="8"/>
      <c r="H78" s="10"/>
      <c r="N78" s="10" t="s">
        <v>64</v>
      </c>
      <c r="O78" s="10">
        <f>SUM(O74:O77)</f>
        <v>9175</v>
      </c>
    </row>
    <row r="79" spans="1:15" ht="15.75">
      <c r="A79" s="18">
        <v>1611</v>
      </c>
      <c r="B79" t="s">
        <v>56</v>
      </c>
      <c r="C79" s="11">
        <v>9</v>
      </c>
      <c r="D79">
        <v>19</v>
      </c>
      <c r="E79">
        <v>0.00437597</v>
      </c>
      <c r="F79">
        <v>39436</v>
      </c>
      <c r="G79">
        <v>757276</v>
      </c>
      <c r="H79" s="10">
        <f>D79*F79/G79</f>
        <v>0.9894463841452786</v>
      </c>
      <c r="I79">
        <v>14627</v>
      </c>
      <c r="J79" s="1">
        <f>(D79*I79/H79+O79/N79)/E79/0.476</f>
        <v>135158661.58951077</v>
      </c>
      <c r="K79" s="1">
        <f>J79-50600000*0.82</f>
        <v>93666661.58951077</v>
      </c>
      <c r="L79">
        <v>1730</v>
      </c>
      <c r="M79">
        <v>1799</v>
      </c>
      <c r="N79" s="10">
        <f>L79/M79</f>
        <v>0.9616453585325181</v>
      </c>
      <c r="O79">
        <v>628</v>
      </c>
    </row>
    <row r="80" spans="1:15" ht="15.75">
      <c r="A80" s="18">
        <v>1612</v>
      </c>
      <c r="B80" t="s">
        <v>56</v>
      </c>
      <c r="C80" s="11">
        <v>19</v>
      </c>
      <c r="D80">
        <v>19</v>
      </c>
      <c r="E80">
        <v>0.00967868</v>
      </c>
      <c r="F80">
        <v>86148</v>
      </c>
      <c r="G80" s="8">
        <v>1668550</v>
      </c>
      <c r="H80" s="10">
        <f>D80*F80/G80</f>
        <v>0.9809786940756945</v>
      </c>
      <c r="I80">
        <v>31875</v>
      </c>
      <c r="J80" s="1">
        <f>(D80*I80/H80+O80/N80)/E80/0.476</f>
        <v>134457096.75883067</v>
      </c>
      <c r="K80" s="1">
        <f>J80-50600000*0.82</f>
        <v>92965096.75883067</v>
      </c>
      <c r="L80">
        <v>1854</v>
      </c>
      <c r="M80">
        <v>1966</v>
      </c>
      <c r="N80" s="10">
        <f>L80/M80</f>
        <v>0.943031536113937</v>
      </c>
      <c r="O80">
        <v>1964</v>
      </c>
    </row>
    <row r="81" spans="1:15" ht="15.75">
      <c r="A81" s="18">
        <v>1613</v>
      </c>
      <c r="B81" t="s">
        <v>56</v>
      </c>
      <c r="C81" s="11">
        <v>37</v>
      </c>
      <c r="D81">
        <v>10</v>
      </c>
      <c r="E81">
        <v>0.0383636</v>
      </c>
      <c r="F81">
        <v>625726</v>
      </c>
      <c r="G81" s="8">
        <v>6628820</v>
      </c>
      <c r="H81" s="10">
        <f>D81*F81/G81</f>
        <v>0.9439477916129869</v>
      </c>
      <c r="I81">
        <v>231417</v>
      </c>
      <c r="J81" s="1">
        <f>(D81*I81/H81+O81/N81)/E81/0.476</f>
        <v>134955525.11641937</v>
      </c>
      <c r="K81" s="1">
        <f>J81-50600000*0.82</f>
        <v>93463525.11641937</v>
      </c>
      <c r="L81">
        <v>3303</v>
      </c>
      <c r="M81">
        <v>3844</v>
      </c>
      <c r="N81" s="10">
        <f>L81/M81</f>
        <v>0.859261186264308</v>
      </c>
      <c r="O81">
        <v>11038</v>
      </c>
    </row>
    <row r="82" spans="1:15" ht="15.75">
      <c r="A82" s="18">
        <v>1614</v>
      </c>
      <c r="B82" t="s">
        <v>56</v>
      </c>
      <c r="C82" s="11">
        <v>40</v>
      </c>
      <c r="D82">
        <v>10</v>
      </c>
      <c r="E82">
        <v>0.0383129</v>
      </c>
      <c r="F82">
        <v>625169</v>
      </c>
      <c r="G82" s="8">
        <v>6626510</v>
      </c>
      <c r="H82" s="10">
        <f>D82*F82/G82</f>
        <v>0.9434362884836814</v>
      </c>
      <c r="I82">
        <v>230636</v>
      </c>
      <c r="J82" s="1">
        <f>(D82*I82/H82+O82/N82)/E82/0.476</f>
        <v>134752826.1641419</v>
      </c>
      <c r="K82" s="1">
        <f>J82-50600000*0.82</f>
        <v>93260826.1641419</v>
      </c>
      <c r="L82">
        <v>3015</v>
      </c>
      <c r="M82">
        <v>3553</v>
      </c>
      <c r="N82" s="10">
        <f>L82/M82</f>
        <v>0.8485786659161272</v>
      </c>
      <c r="O82">
        <v>10897</v>
      </c>
    </row>
    <row r="83" spans="1:15" ht="15.75">
      <c r="A83" s="18">
        <v>1615</v>
      </c>
      <c r="B83" t="s">
        <v>56</v>
      </c>
      <c r="C83">
        <v>40</v>
      </c>
      <c r="D83">
        <v>20</v>
      </c>
      <c r="E83">
        <v>0.054053199999999996</v>
      </c>
      <c r="F83">
        <v>441295</v>
      </c>
      <c r="G83" s="8">
        <v>9355400</v>
      </c>
      <c r="H83" s="10">
        <f>D83*F83/G83</f>
        <v>0.9434016717617633</v>
      </c>
      <c r="I83">
        <v>163381</v>
      </c>
      <c r="J83" s="1">
        <f>(D83*I83/H83+O83/N83)/E83/0.476</f>
        <v>135315767.77555773</v>
      </c>
      <c r="K83" s="1">
        <f>J83-50600000*0.82</f>
        <v>93823767.77555773</v>
      </c>
      <c r="L83">
        <v>4444</v>
      </c>
      <c r="M83">
        <v>5003</v>
      </c>
      <c r="N83" s="10">
        <f>L83/M83</f>
        <v>0.8882670397761343</v>
      </c>
      <c r="O83">
        <v>15923</v>
      </c>
    </row>
    <row r="84" spans="1:14" ht="15.75">
      <c r="A84" s="13" t="s">
        <v>65</v>
      </c>
      <c r="B84" s="13"/>
      <c r="C84" s="13"/>
      <c r="D84" s="13"/>
      <c r="G84" s="8"/>
      <c r="H84" s="10"/>
      <c r="J84" s="1" t="s">
        <v>58</v>
      </c>
      <c r="K84" s="1">
        <f>SUM(K79:K83)/5</f>
        <v>93435975.48089209</v>
      </c>
      <c r="N84" s="10"/>
    </row>
    <row r="85" spans="1:14" ht="15.75">
      <c r="A85" t="s">
        <v>66</v>
      </c>
      <c r="G85" s="8"/>
      <c r="H85" s="10"/>
      <c r="K85" s="10"/>
      <c r="N85" s="10"/>
    </row>
    <row r="86" spans="1:14" ht="15.75">
      <c r="A86" t="s">
        <v>50</v>
      </c>
      <c r="B86" s="9">
        <f>0.005*0.005/0.0075/0.007</f>
        <v>0.47619047619047616</v>
      </c>
      <c r="H86" s="10"/>
      <c r="K86" s="10"/>
      <c r="N86" s="10"/>
    </row>
    <row r="87" spans="1:15" ht="15.75">
      <c r="A87" s="18">
        <v>1627</v>
      </c>
      <c r="B87" t="s">
        <v>56</v>
      </c>
      <c r="C87" s="11">
        <v>39</v>
      </c>
      <c r="D87">
        <v>20</v>
      </c>
      <c r="E87">
        <v>0.0540871</v>
      </c>
      <c r="F87">
        <v>441368</v>
      </c>
      <c r="G87" s="8">
        <v>9350470</v>
      </c>
      <c r="H87" s="10">
        <f>D87*F87/G87</f>
        <v>0.9440552186146792</v>
      </c>
      <c r="I87">
        <v>162503</v>
      </c>
      <c r="J87" s="1">
        <f>(D87*I87/H87+O87/N87)/E87/0.476</f>
        <v>134413788.63731876</v>
      </c>
      <c r="K87" s="1">
        <f>J87-50600000*0.82</f>
        <v>92921788.63731876</v>
      </c>
      <c r="L87">
        <v>4624</v>
      </c>
      <c r="M87">
        <v>5196</v>
      </c>
      <c r="N87" s="10">
        <f>L87/M87</f>
        <v>0.8899153194765204</v>
      </c>
      <c r="O87">
        <v>15917</v>
      </c>
    </row>
    <row r="88" spans="1:15" ht="15.75">
      <c r="A88" s="18">
        <v>1628</v>
      </c>
      <c r="B88" t="s">
        <v>56</v>
      </c>
      <c r="C88" s="11">
        <v>38</v>
      </c>
      <c r="D88">
        <v>20</v>
      </c>
      <c r="E88">
        <v>0.0540627</v>
      </c>
      <c r="F88">
        <v>441191</v>
      </c>
      <c r="G88" s="8">
        <v>9350680</v>
      </c>
      <c r="H88" s="10">
        <f>D88*F88/G88</f>
        <v>0.943655434684964</v>
      </c>
      <c r="I88">
        <v>162652</v>
      </c>
      <c r="J88" s="1">
        <f>(D88*I88/H88+O88/N88)/E88/0.476</f>
        <v>134650270.80685842</v>
      </c>
      <c r="K88" s="1">
        <f>J88-50600000*0.82</f>
        <v>93158270.80685842</v>
      </c>
      <c r="L88">
        <v>4703</v>
      </c>
      <c r="M88">
        <v>5251</v>
      </c>
      <c r="N88" s="10">
        <f>L88/M88</f>
        <v>0.8956389259188726</v>
      </c>
      <c r="O88">
        <v>15937</v>
      </c>
    </row>
    <row r="89" spans="1:15" ht="15.75">
      <c r="A89" s="18">
        <v>1629</v>
      </c>
      <c r="B89" t="s">
        <v>56</v>
      </c>
      <c r="C89" s="11">
        <v>38</v>
      </c>
      <c r="D89">
        <v>20</v>
      </c>
      <c r="E89">
        <v>0.054171699999999996</v>
      </c>
      <c r="F89">
        <v>441538</v>
      </c>
      <c r="G89" s="8">
        <v>9359660</v>
      </c>
      <c r="H89" s="10">
        <f>D89*F89/G89</f>
        <v>0.9434915370857488</v>
      </c>
      <c r="I89">
        <v>162356</v>
      </c>
      <c r="J89" s="1">
        <f>(D89*I89/H89+O89/N89)/E89/0.476</f>
        <v>134144587.34673202</v>
      </c>
      <c r="K89" s="1">
        <f>J89-50600000*0.82</f>
        <v>92652587.34673202</v>
      </c>
      <c r="L89">
        <v>4820</v>
      </c>
      <c r="M89">
        <v>5348</v>
      </c>
      <c r="N89" s="10">
        <f>L89/M89</f>
        <v>0.9012715033657442</v>
      </c>
      <c r="O89">
        <v>15697</v>
      </c>
    </row>
    <row r="90" spans="1:15" ht="15.75">
      <c r="A90" s="18">
        <v>1630</v>
      </c>
      <c r="B90" t="s">
        <v>56</v>
      </c>
      <c r="C90" s="11">
        <v>40</v>
      </c>
      <c r="D90">
        <v>20</v>
      </c>
      <c r="E90">
        <v>0.0540606</v>
      </c>
      <c r="F90">
        <v>440979</v>
      </c>
      <c r="G90" s="8">
        <v>9350390</v>
      </c>
      <c r="H90" s="10">
        <f>D90*F90/G90</f>
        <v>0.9432312448999454</v>
      </c>
      <c r="I90">
        <v>162500</v>
      </c>
      <c r="J90" s="1">
        <f>(D90*I90/H90+O90/N90)/E90/0.476</f>
        <v>134591371.5638947</v>
      </c>
      <c r="K90" s="1">
        <f>J90-50600000*0.82</f>
        <v>93099371.56389469</v>
      </c>
      <c r="L90">
        <v>4509</v>
      </c>
      <c r="M90">
        <v>5004</v>
      </c>
      <c r="N90" s="10">
        <f>L90/M90</f>
        <v>0.9010791366906474</v>
      </c>
      <c r="O90">
        <v>16054</v>
      </c>
    </row>
    <row r="91" spans="1:15" ht="15.75">
      <c r="A91" s="18">
        <v>1631</v>
      </c>
      <c r="B91" t="s">
        <v>56</v>
      </c>
      <c r="C91" s="11">
        <v>33</v>
      </c>
      <c r="D91">
        <v>20</v>
      </c>
      <c r="E91">
        <v>0.0539548</v>
      </c>
      <c r="F91">
        <v>442860</v>
      </c>
      <c r="G91" s="8">
        <v>9334460</v>
      </c>
      <c r="H91" s="10">
        <f>D91*F91/G91</f>
        <v>0.9488711719799539</v>
      </c>
      <c r="I91">
        <v>163356</v>
      </c>
      <c r="J91" s="1">
        <f>(D91*I91/H91+O91/N91)/E91/0.476</f>
        <v>134699465.710721</v>
      </c>
      <c r="K91" s="1">
        <f>J91-50600000*0.82</f>
        <v>93207465.71072099</v>
      </c>
      <c r="L91">
        <v>5618</v>
      </c>
      <c r="M91">
        <v>6136</v>
      </c>
      <c r="N91" s="10">
        <f>L91/M91</f>
        <v>0.915580182529335</v>
      </c>
      <c r="O91">
        <v>14880</v>
      </c>
    </row>
    <row r="92" spans="1:15" ht="15.75">
      <c r="A92" s="18">
        <v>1632</v>
      </c>
      <c r="B92" t="s">
        <v>56</v>
      </c>
      <c r="C92" s="11">
        <v>33</v>
      </c>
      <c r="D92">
        <v>20</v>
      </c>
      <c r="E92">
        <v>0.0539519</v>
      </c>
      <c r="F92">
        <v>443131</v>
      </c>
      <c r="G92" s="8">
        <v>9341370</v>
      </c>
      <c r="H92" s="10">
        <f>D92*F92/G92</f>
        <v>0.948749487494875</v>
      </c>
      <c r="I92">
        <v>162949</v>
      </c>
      <c r="J92" s="1">
        <f>(D92*I92/H92+O92/N92)/E92/0.476</f>
        <v>134384740.18457547</v>
      </c>
      <c r="K92" s="1">
        <f>J92-50600000*0.82</f>
        <v>92892740.18457547</v>
      </c>
      <c r="L92">
        <v>5606</v>
      </c>
      <c r="M92">
        <v>6124</v>
      </c>
      <c r="N92" s="10">
        <f>L92/M92</f>
        <v>0.9154147615937296</v>
      </c>
      <c r="O92">
        <v>14758</v>
      </c>
    </row>
    <row r="93" spans="1:15" ht="15.75">
      <c r="A93" s="18">
        <v>1633</v>
      </c>
      <c r="B93" t="s">
        <v>56</v>
      </c>
      <c r="C93" s="11">
        <v>18</v>
      </c>
      <c r="D93">
        <v>20</v>
      </c>
      <c r="E93">
        <v>0.0107978</v>
      </c>
      <c r="F93">
        <v>91011</v>
      </c>
      <c r="G93" s="8">
        <v>1865250</v>
      </c>
      <c r="H93" s="10">
        <f>D93*F93/G93</f>
        <v>0.9758584640128669</v>
      </c>
      <c r="I93">
        <v>33857</v>
      </c>
      <c r="J93" s="1">
        <f>(D93*I93/H93+O93/N93)/E93/0.476</f>
        <v>135461702.6493603</v>
      </c>
      <c r="K93" s="1">
        <f>J93-50600000*0.82</f>
        <v>93969702.6493603</v>
      </c>
      <c r="L93">
        <v>2063</v>
      </c>
      <c r="M93">
        <v>2182</v>
      </c>
      <c r="N93" s="10">
        <f>L93/M93</f>
        <v>0.9454628780934922</v>
      </c>
      <c r="O93">
        <v>2220</v>
      </c>
    </row>
    <row r="94" spans="10:11" ht="15.75">
      <c r="J94" s="1" t="s">
        <v>58</v>
      </c>
      <c r="K94" s="1">
        <f>SUM(K87:K93)/7</f>
        <v>93128846.69992293</v>
      </c>
    </row>
    <row r="96" spans="1:15" ht="15.75">
      <c r="A96" t="s">
        <v>27</v>
      </c>
      <c r="B96" t="s">
        <v>28</v>
      </c>
      <c r="C96" t="s">
        <v>1</v>
      </c>
      <c r="D96" t="s">
        <v>29</v>
      </c>
      <c r="E96" t="s">
        <v>30</v>
      </c>
      <c r="F96" t="s">
        <v>31</v>
      </c>
      <c r="G96" t="s">
        <v>32</v>
      </c>
      <c r="H96" t="s">
        <v>33</v>
      </c>
      <c r="I96" t="s">
        <v>34</v>
      </c>
      <c r="J96" s="1" t="s">
        <v>35</v>
      </c>
      <c r="K96" t="s">
        <v>36</v>
      </c>
      <c r="L96" t="s">
        <v>37</v>
      </c>
      <c r="M96" t="s">
        <v>38</v>
      </c>
      <c r="N96" t="s">
        <v>39</v>
      </c>
      <c r="O96" t="s">
        <v>40</v>
      </c>
    </row>
    <row r="97" spans="1:11" ht="15.75">
      <c r="A97" t="s">
        <v>67</v>
      </c>
      <c r="K97" t="s">
        <v>43</v>
      </c>
    </row>
    <row r="98" spans="1:10" ht="15.75">
      <c r="A98" t="s">
        <v>68</v>
      </c>
      <c r="J98" s="9">
        <f>0.006*0.005/0.00745/0.0077</f>
        <v>0.5229669659199859</v>
      </c>
    </row>
    <row r="99" spans="1:3" ht="15.75">
      <c r="A99" t="s">
        <v>69</v>
      </c>
      <c r="B99" s="9">
        <f>0.004*0.005/(0.00745*0.0077)</f>
        <v>0.34864464394665734</v>
      </c>
      <c r="C99" t="s">
        <v>70</v>
      </c>
    </row>
    <row r="100" spans="1:15" ht="15.75">
      <c r="A100" s="18">
        <v>1419</v>
      </c>
      <c r="B100" t="s">
        <v>71</v>
      </c>
      <c r="C100" s="11">
        <v>32.3</v>
      </c>
      <c r="D100">
        <v>10</v>
      </c>
      <c r="E100">
        <v>0.078904</v>
      </c>
      <c r="F100">
        <v>515054</v>
      </c>
      <c r="G100" s="8">
        <v>5316610</v>
      </c>
      <c r="H100" s="10">
        <f>D100*F100/G100</f>
        <v>0.9687639303992581</v>
      </c>
      <c r="I100">
        <v>193733</v>
      </c>
      <c r="J100" s="1">
        <f>(D100*I100/H100+O100/N100)/E100/0.523</f>
        <v>48477816.97678774</v>
      </c>
      <c r="K100" s="1">
        <f>J100*G5/G2</f>
        <v>48564591.11218773</v>
      </c>
      <c r="L100">
        <v>8512</v>
      </c>
      <c r="M100">
        <v>9036</v>
      </c>
      <c r="N100" s="10">
        <f>L100/M100</f>
        <v>0.9420097388224878</v>
      </c>
      <c r="O100">
        <v>686</v>
      </c>
    </row>
    <row r="101" spans="1:15" ht="15.75">
      <c r="A101" s="18">
        <v>1419</v>
      </c>
      <c r="B101" t="s">
        <v>72</v>
      </c>
      <c r="C101" s="11">
        <v>32.3</v>
      </c>
      <c r="D101">
        <v>10</v>
      </c>
      <c r="E101">
        <v>0.078904</v>
      </c>
      <c r="F101">
        <v>515054</v>
      </c>
      <c r="G101" s="8">
        <v>5316610</v>
      </c>
      <c r="H101" s="10">
        <f>D101*F101/G101</f>
        <v>0.9687639303992581</v>
      </c>
      <c r="I101">
        <v>127882</v>
      </c>
      <c r="J101" s="1">
        <f>(D101*I101/H101+O101/N101)/E101/0.349</f>
        <v>47954116.30289232</v>
      </c>
      <c r="K101" s="1">
        <f>J101*G5/G2</f>
        <v>48039953.02658486</v>
      </c>
      <c r="L101">
        <v>8512</v>
      </c>
      <c r="M101">
        <v>9036</v>
      </c>
      <c r="N101" s="10">
        <f>L101/M101</f>
        <v>0.9420097388224878</v>
      </c>
      <c r="O101">
        <v>455</v>
      </c>
    </row>
    <row r="102" spans="1:15" ht="15.75">
      <c r="A102" s="18">
        <v>1420</v>
      </c>
      <c r="B102" t="s">
        <v>44</v>
      </c>
      <c r="C102" s="11">
        <v>37</v>
      </c>
      <c r="D102">
        <v>10</v>
      </c>
      <c r="E102">
        <v>0.031006699999999998</v>
      </c>
      <c r="F102">
        <v>201757</v>
      </c>
      <c r="G102" s="8">
        <v>2083720</v>
      </c>
      <c r="H102" s="10">
        <f>D102*F102/G102</f>
        <v>0.9682538920776304</v>
      </c>
      <c r="I102">
        <v>75619</v>
      </c>
      <c r="J102" s="1">
        <f>(D102*I102/H102+O102/N102)/E102/0.523</f>
        <v>48176900.86648728</v>
      </c>
      <c r="K102" s="1">
        <f>J102*G5/G2</f>
        <v>48263136.3692316</v>
      </c>
      <c r="L102">
        <v>2901</v>
      </c>
      <c r="M102">
        <v>3087</v>
      </c>
      <c r="N102" s="10">
        <f>L102/M102</f>
        <v>0.9397473275024295</v>
      </c>
      <c r="O102">
        <v>261</v>
      </c>
    </row>
    <row r="103" spans="1:15" ht="15.75">
      <c r="A103" s="18">
        <v>1434</v>
      </c>
      <c r="B103" t="s">
        <v>56</v>
      </c>
      <c r="C103" s="11">
        <v>19.6</v>
      </c>
      <c r="D103">
        <v>20</v>
      </c>
      <c r="E103">
        <v>0.0118099</v>
      </c>
      <c r="F103">
        <v>100888</v>
      </c>
      <c r="G103" s="8">
        <v>2042810</v>
      </c>
      <c r="H103" s="10">
        <f>D103*F103/G103</f>
        <v>0.9877374792565143</v>
      </c>
      <c r="I103">
        <v>38763</v>
      </c>
      <c r="J103" s="1">
        <f>(D103*I103/H103+O103/N103)/E103/0.523</f>
        <v>127142875.38825336</v>
      </c>
      <c r="K103" s="1">
        <f>J103-48300000*0.82</f>
        <v>87536875.38825336</v>
      </c>
      <c r="L103">
        <v>2148</v>
      </c>
      <c r="M103">
        <v>2250</v>
      </c>
      <c r="N103" s="10">
        <f>L103/M103</f>
        <v>0.9546666666666667</v>
      </c>
      <c r="O103">
        <v>404</v>
      </c>
    </row>
    <row r="104" spans="1:15" ht="15.75">
      <c r="A104" s="18">
        <v>1435</v>
      </c>
      <c r="B104" t="s">
        <v>56</v>
      </c>
      <c r="C104" s="11">
        <v>39</v>
      </c>
      <c r="D104">
        <v>20</v>
      </c>
      <c r="E104">
        <v>0.0768764</v>
      </c>
      <c r="F104">
        <v>650688</v>
      </c>
      <c r="G104" s="8">
        <v>13347200</v>
      </c>
      <c r="H104" s="10">
        <f>D104*F104/G104</f>
        <v>0.9750179812994486</v>
      </c>
      <c r="I104">
        <v>249652</v>
      </c>
      <c r="J104" s="1">
        <f>(D104*I104/H104+O104/N104)/E104/0.523</f>
        <v>127468886.04759878</v>
      </c>
      <c r="K104" s="1">
        <f>J104-48300000*0.82</f>
        <v>87862886.04759878</v>
      </c>
      <c r="L104">
        <v>6647</v>
      </c>
      <c r="M104">
        <v>7218</v>
      </c>
      <c r="N104" s="10">
        <f>L104/M104</f>
        <v>0.9208922139096702</v>
      </c>
      <c r="O104">
        <v>3764</v>
      </c>
    </row>
    <row r="105" spans="1:15" ht="15.75">
      <c r="A105" s="18">
        <v>1436</v>
      </c>
      <c r="B105" t="s">
        <v>56</v>
      </c>
      <c r="C105" s="11">
        <v>40</v>
      </c>
      <c r="D105">
        <v>20</v>
      </c>
      <c r="E105">
        <v>0.00354946</v>
      </c>
      <c r="F105">
        <v>29992</v>
      </c>
      <c r="G105">
        <v>615487</v>
      </c>
      <c r="H105" s="10">
        <f>D105*F105/G105</f>
        <v>0.9745778546094394</v>
      </c>
      <c r="I105">
        <v>11513</v>
      </c>
      <c r="J105" s="1">
        <f>(D105*I105/H105+O105/N105)/E105/0.523</f>
        <v>127383391.78475843</v>
      </c>
      <c r="K105" s="1">
        <f>J105-48300000*0.82</f>
        <v>87777391.78475843</v>
      </c>
      <c r="L105">
        <v>301</v>
      </c>
      <c r="M105">
        <v>357</v>
      </c>
      <c r="N105" s="10">
        <f>L105/M105</f>
        <v>0.8431372549019608</v>
      </c>
      <c r="O105">
        <v>172</v>
      </c>
    </row>
    <row r="106" spans="1:15" ht="15.75">
      <c r="A106" s="18">
        <v>1437</v>
      </c>
      <c r="B106" t="s">
        <v>56</v>
      </c>
      <c r="C106" s="11">
        <v>38</v>
      </c>
      <c r="D106">
        <v>20</v>
      </c>
      <c r="E106">
        <v>0.0768609</v>
      </c>
      <c r="F106">
        <v>650958</v>
      </c>
      <c r="G106" s="8">
        <v>13346400</v>
      </c>
      <c r="H106" s="10">
        <f>D106*F106/G106</f>
        <v>0.9754810285919798</v>
      </c>
      <c r="I106">
        <v>250655</v>
      </c>
      <c r="J106" s="1">
        <f>(D106*I106/H106+O106/N106)/E106/0.523</f>
        <v>127941980.55407429</v>
      </c>
      <c r="K106" s="1">
        <f>J106-48300000*0.82</f>
        <v>88335980.55407429</v>
      </c>
      <c r="L106">
        <v>6931</v>
      </c>
      <c r="M106" s="22">
        <v>7464</v>
      </c>
      <c r="N106" s="10">
        <f>L106/M106</f>
        <v>0.9285905680600214</v>
      </c>
      <c r="O106">
        <v>3657</v>
      </c>
    </row>
    <row r="107" spans="1:15" ht="15.75">
      <c r="A107" s="18">
        <v>1438</v>
      </c>
      <c r="B107" t="s">
        <v>56</v>
      </c>
      <c r="C107" s="11">
        <v>28</v>
      </c>
      <c r="D107">
        <v>20</v>
      </c>
      <c r="E107">
        <v>0.0764038</v>
      </c>
      <c r="F107">
        <v>647754</v>
      </c>
      <c r="G107" s="8">
        <v>13279100</v>
      </c>
      <c r="H107" s="10">
        <f>D107*F107/G107</f>
        <v>0.9755992499491682</v>
      </c>
      <c r="I107">
        <v>249019</v>
      </c>
      <c r="J107" s="1">
        <f>(D107*I107/H107+O107/N107)/E107/0.523</f>
        <v>127855026.3702783</v>
      </c>
      <c r="K107" s="1">
        <f>J107-48300000*0.82</f>
        <v>88249026.3702783</v>
      </c>
      <c r="L107">
        <v>9496</v>
      </c>
      <c r="M107">
        <v>10026</v>
      </c>
      <c r="N107" s="10">
        <f>L107/M107</f>
        <v>0.9471374426491123</v>
      </c>
      <c r="O107">
        <v>3825</v>
      </c>
    </row>
    <row r="108" spans="1:15" ht="15.75">
      <c r="A108" s="18">
        <v>1439</v>
      </c>
      <c r="B108" t="s">
        <v>56</v>
      </c>
      <c r="C108" s="11">
        <v>35.6</v>
      </c>
      <c r="D108">
        <v>20</v>
      </c>
      <c r="E108">
        <v>0.0767878</v>
      </c>
      <c r="F108">
        <v>650336</v>
      </c>
      <c r="G108" s="8">
        <v>13328800</v>
      </c>
      <c r="H108" s="10">
        <f>D108*F108/G108</f>
        <v>0.9758357841666166</v>
      </c>
      <c r="I108">
        <v>250156</v>
      </c>
      <c r="J108" s="1">
        <f>(D108*I108/H108+O108/N108)/E108/0.523</f>
        <v>127764982.6314859</v>
      </c>
      <c r="K108" s="1">
        <f>J108-48300000*0.82</f>
        <v>88158982.6314859</v>
      </c>
      <c r="L108">
        <v>7441</v>
      </c>
      <c r="M108">
        <v>7979</v>
      </c>
      <c r="N108" s="10">
        <f>L108/M108</f>
        <v>0.9325730041358566</v>
      </c>
      <c r="O108">
        <v>3762</v>
      </c>
    </row>
    <row r="109" spans="1:15" ht="15.75">
      <c r="A109" s="18">
        <v>1440</v>
      </c>
      <c r="B109" t="s">
        <v>56</v>
      </c>
      <c r="C109" s="11">
        <v>40</v>
      </c>
      <c r="D109">
        <v>20</v>
      </c>
      <c r="E109">
        <v>0.0769048</v>
      </c>
      <c r="F109">
        <v>651110</v>
      </c>
      <c r="G109" s="8">
        <v>13352000</v>
      </c>
      <c r="H109" s="10">
        <f>D109*F109/G109</f>
        <v>0.9752995805871779</v>
      </c>
      <c r="I109">
        <v>250121</v>
      </c>
      <c r="J109" s="1">
        <f>(D109*I109/H109+O109/N109)/E109/0.523</f>
        <v>127623659.48571594</v>
      </c>
      <c r="K109" s="1">
        <f>J109-48300000*0.82</f>
        <v>88017659.48571594</v>
      </c>
      <c r="L109">
        <v>6613</v>
      </c>
      <c r="M109">
        <v>7147</v>
      </c>
      <c r="N109" s="10">
        <f>L109/M109</f>
        <v>0.9252833356653141</v>
      </c>
      <c r="O109">
        <v>3763</v>
      </c>
    </row>
    <row r="110" spans="1:15" ht="15.75">
      <c r="A110" s="18">
        <v>1485</v>
      </c>
      <c r="B110" t="s">
        <v>56</v>
      </c>
      <c r="C110">
        <v>40</v>
      </c>
      <c r="D110">
        <v>20</v>
      </c>
      <c r="E110">
        <v>0.0769696</v>
      </c>
      <c r="F110">
        <v>651356</v>
      </c>
      <c r="G110" s="8">
        <v>13355900</v>
      </c>
      <c r="H110" s="10">
        <f>D110*F110/G110</f>
        <v>0.9753831639949385</v>
      </c>
      <c r="I110">
        <v>250912</v>
      </c>
      <c r="J110" s="1">
        <f>(D110*I110/H110+O110/N110)/E110/0.523</f>
        <v>127913178.05246413</v>
      </c>
      <c r="K110" s="1">
        <f>J110-48300000*0.82</f>
        <v>88307178.05246413</v>
      </c>
      <c r="L110">
        <v>6551</v>
      </c>
      <c r="M110">
        <v>7091</v>
      </c>
      <c r="N110" s="10">
        <f>L110/M110</f>
        <v>0.9238471301649979</v>
      </c>
      <c r="O110">
        <v>3942</v>
      </c>
    </row>
    <row r="111" spans="1:14" ht="15.75">
      <c r="A111" s="15" t="s">
        <v>73</v>
      </c>
      <c r="G111" s="8"/>
      <c r="H111" s="10"/>
      <c r="J111" s="1" t="s">
        <v>58</v>
      </c>
      <c r="K111" s="1">
        <f>SUM(K103:K110)/8</f>
        <v>88030747.53932863</v>
      </c>
      <c r="N111" s="10"/>
    </row>
    <row r="112" spans="1:14" ht="15.75">
      <c r="A112" s="15" t="s">
        <v>74</v>
      </c>
      <c r="B112" s="9">
        <f>0.005*0.003/0.0086/0.0052</f>
        <v>0.3354203935599284</v>
      </c>
      <c r="G112" s="8"/>
      <c r="H112" s="10"/>
      <c r="K112" s="1"/>
      <c r="N112" s="10"/>
    </row>
    <row r="113" spans="1:15" ht="15.75">
      <c r="A113" s="20">
        <v>1917</v>
      </c>
      <c r="B113" t="s">
        <v>56</v>
      </c>
      <c r="C113" s="11">
        <v>33</v>
      </c>
      <c r="D113">
        <v>30</v>
      </c>
      <c r="E113">
        <v>0.07579799999999999</v>
      </c>
      <c r="F113">
        <v>517834</v>
      </c>
      <c r="G113" s="8">
        <v>16103500</v>
      </c>
      <c r="H113" s="10">
        <f>D113*F113/G113</f>
        <v>0.9646983574999224</v>
      </c>
      <c r="I113">
        <v>119857</v>
      </c>
      <c r="J113" s="1">
        <f>(D113*I113/H113+O113/N113)/E113/0.335</f>
        <v>146931156.98419264</v>
      </c>
      <c r="K113" s="1">
        <f>J113-51100000*0.82</f>
        <v>105029156.98419264</v>
      </c>
      <c r="L113">
        <v>7867</v>
      </c>
      <c r="M113">
        <v>8468</v>
      </c>
      <c r="N113" s="10">
        <f>L113/M113</f>
        <v>0.9290269248937175</v>
      </c>
      <c r="O113">
        <v>3377</v>
      </c>
    </row>
    <row r="114" spans="1:15" ht="15.75">
      <c r="A114" s="20">
        <v>1918</v>
      </c>
      <c r="B114" t="s">
        <v>56</v>
      </c>
      <c r="C114" s="11">
        <v>36</v>
      </c>
      <c r="D114">
        <v>30</v>
      </c>
      <c r="E114">
        <v>0.0735904</v>
      </c>
      <c r="F114">
        <v>513254</v>
      </c>
      <c r="G114" s="8">
        <v>15962500</v>
      </c>
      <c r="H114" s="10">
        <f>D114*F114/G114</f>
        <v>0.964612059514487</v>
      </c>
      <c r="I114">
        <v>117160</v>
      </c>
      <c r="J114" s="1">
        <f>(D114*I114/H114+O114/N114)/E114/0.335</f>
        <v>147955216.04753855</v>
      </c>
      <c r="K114" s="1">
        <f>J114-51100000*0.82</f>
        <v>106053216.04753855</v>
      </c>
      <c r="L114">
        <v>7067</v>
      </c>
      <c r="M114">
        <v>7614</v>
      </c>
      <c r="N114" s="10">
        <f>L114/M114</f>
        <v>0.9281586551090097</v>
      </c>
      <c r="O114">
        <v>3493</v>
      </c>
    </row>
    <row r="115" spans="1:15" ht="15.75">
      <c r="A115" s="20">
        <v>1919</v>
      </c>
      <c r="B115" t="s">
        <v>56</v>
      </c>
      <c r="C115" s="11">
        <v>8</v>
      </c>
      <c r="D115">
        <v>30</v>
      </c>
      <c r="E115">
        <v>0.0054326</v>
      </c>
      <c r="F115">
        <v>41294</v>
      </c>
      <c r="G115" s="8">
        <v>1255550</v>
      </c>
      <c r="H115" s="10">
        <f>D115*F115/G115</f>
        <v>0.9866751622794792</v>
      </c>
      <c r="I115">
        <v>9182</v>
      </c>
      <c r="J115" s="1">
        <f>(D115*I115/H115+O115/N115)/E115/0.335</f>
        <v>153477348.38918203</v>
      </c>
      <c r="K115" s="1">
        <f>J115-51100000*0.82</f>
        <v>111575348.38918203</v>
      </c>
      <c r="L115">
        <v>2608</v>
      </c>
      <c r="M115">
        <v>2679</v>
      </c>
      <c r="N115" s="10">
        <f>L115/M115</f>
        <v>0.9734975737215379</v>
      </c>
      <c r="O115">
        <v>133</v>
      </c>
    </row>
    <row r="116" spans="1:15" ht="15.75">
      <c r="A116" s="20">
        <v>1928</v>
      </c>
      <c r="B116" t="s">
        <v>56</v>
      </c>
      <c r="C116" s="11">
        <v>36</v>
      </c>
      <c r="D116">
        <v>30</v>
      </c>
      <c r="E116">
        <v>0.0787054</v>
      </c>
      <c r="F116">
        <v>526680</v>
      </c>
      <c r="G116" s="8">
        <v>16313600</v>
      </c>
      <c r="H116" s="10">
        <f>D116*F116/G116</f>
        <v>0.9685415849352688</v>
      </c>
      <c r="I116">
        <v>124675</v>
      </c>
      <c r="J116" s="1">
        <f>(D116*I116/H116+O116/N116)/E116/0.335</f>
        <v>146599723.20558313</v>
      </c>
      <c r="K116" s="1">
        <f>J116-51100000*0.82</f>
        <v>104697723.20558313</v>
      </c>
      <c r="L116">
        <v>7662</v>
      </c>
      <c r="M116">
        <v>8205</v>
      </c>
      <c r="N116" s="10">
        <f>L116/M116</f>
        <v>0.9338208409506399</v>
      </c>
      <c r="O116">
        <v>3324</v>
      </c>
    </row>
    <row r="117" spans="1:15" ht="15.75">
      <c r="A117" s="20">
        <v>1929</v>
      </c>
      <c r="B117" t="s">
        <v>56</v>
      </c>
      <c r="C117" s="11">
        <v>36</v>
      </c>
      <c r="D117">
        <v>30</v>
      </c>
      <c r="E117">
        <v>0.0778217</v>
      </c>
      <c r="F117">
        <v>523426</v>
      </c>
      <c r="G117" s="8">
        <v>16212300</v>
      </c>
      <c r="H117" s="10">
        <f>D117*F117/G117</f>
        <v>0.9685720101404489</v>
      </c>
      <c r="I117">
        <v>123400</v>
      </c>
      <c r="J117" s="1">
        <f>(D117*I117/H117+O117/N117)/E117/0.335</f>
        <v>146749596.38598385</v>
      </c>
      <c r="K117" s="1">
        <f>J117-51100000*0.82</f>
        <v>104847596.38598385</v>
      </c>
      <c r="L117">
        <v>7564</v>
      </c>
      <c r="M117">
        <v>8127</v>
      </c>
      <c r="N117" s="10">
        <f>L117/M117</f>
        <v>0.9307247446782331</v>
      </c>
      <c r="O117">
        <v>3425</v>
      </c>
    </row>
    <row r="118" spans="1:15" ht="15.75">
      <c r="A118" s="20">
        <v>1930</v>
      </c>
      <c r="B118" t="s">
        <v>56</v>
      </c>
      <c r="C118" s="11">
        <v>33</v>
      </c>
      <c r="D118">
        <v>30</v>
      </c>
      <c r="E118">
        <v>0.07803249999999999</v>
      </c>
      <c r="F118">
        <v>524591</v>
      </c>
      <c r="G118" s="8">
        <v>16251800</v>
      </c>
      <c r="H118" s="10">
        <f>D118*F118/G118</f>
        <v>0.9683684268819454</v>
      </c>
      <c r="I118">
        <v>123987</v>
      </c>
      <c r="J118" s="1">
        <f>(D118*I118/H118+O118/N118)/E118/0.335</f>
        <v>147075621.62339184</v>
      </c>
      <c r="K118" s="1">
        <f>J118-51100000*0.82</f>
        <v>105173621.62339184</v>
      </c>
      <c r="L118">
        <v>8122</v>
      </c>
      <c r="M118">
        <v>8719</v>
      </c>
      <c r="N118" s="10">
        <f>L118/M118</f>
        <v>0.931528845051038</v>
      </c>
      <c r="O118">
        <v>3332</v>
      </c>
    </row>
    <row r="119" spans="10:11" ht="15.75">
      <c r="J119" s="1" t="s">
        <v>58</v>
      </c>
      <c r="K119" s="1">
        <f>SUM(K113:K118)/6</f>
        <v>106229443.77264534</v>
      </c>
    </row>
    <row r="120" spans="1:30" ht="15.75">
      <c r="A120" t="s">
        <v>27</v>
      </c>
      <c r="B120" t="s">
        <v>28</v>
      </c>
      <c r="C120" t="s">
        <v>1</v>
      </c>
      <c r="D120" t="s">
        <v>29</v>
      </c>
      <c r="E120" t="s">
        <v>30</v>
      </c>
      <c r="F120" t="s">
        <v>31</v>
      </c>
      <c r="G120" t="s">
        <v>32</v>
      </c>
      <c r="H120" t="s">
        <v>33</v>
      </c>
      <c r="I120" t="s">
        <v>34</v>
      </c>
      <c r="J120" s="1" t="s">
        <v>35</v>
      </c>
      <c r="K120" t="s">
        <v>36</v>
      </c>
      <c r="L120" t="s">
        <v>37</v>
      </c>
      <c r="M120" t="s">
        <v>38</v>
      </c>
      <c r="N120" t="s">
        <v>39</v>
      </c>
      <c r="O120" t="s">
        <v>40</v>
      </c>
      <c r="P120" t="s">
        <v>75</v>
      </c>
      <c r="Q120" t="s">
        <v>76</v>
      </c>
      <c r="R120" t="s">
        <v>77</v>
      </c>
      <c r="S120" t="s">
        <v>78</v>
      </c>
      <c r="T120" t="s">
        <v>79</v>
      </c>
      <c r="U120" t="s">
        <v>80</v>
      </c>
      <c r="V120" t="s">
        <v>81</v>
      </c>
      <c r="W120" t="s">
        <v>82</v>
      </c>
      <c r="X120" t="s">
        <v>83</v>
      </c>
      <c r="Y120" t="s">
        <v>84</v>
      </c>
      <c r="Z120" t="s">
        <v>85</v>
      </c>
      <c r="AA120" t="s">
        <v>86</v>
      </c>
      <c r="AC120" t="s">
        <v>87</v>
      </c>
      <c r="AD120" t="s">
        <v>88</v>
      </c>
    </row>
    <row r="121" spans="1:11" ht="15.75">
      <c r="A121" t="s">
        <v>89</v>
      </c>
      <c r="K121" t="s">
        <v>43</v>
      </c>
    </row>
    <row r="122" spans="1:2" ht="15.75">
      <c r="A122" t="s">
        <v>90</v>
      </c>
      <c r="B122" s="12">
        <f>(0.005*0.006)/(0.014-0.005)/(0.0095-0.003)</f>
        <v>0.5128205128205128</v>
      </c>
    </row>
    <row r="123" spans="1:31" ht="15.75">
      <c r="A123" s="19">
        <v>1339</v>
      </c>
      <c r="B123" t="s">
        <v>44</v>
      </c>
      <c r="C123">
        <v>39</v>
      </c>
      <c r="D123">
        <v>10</v>
      </c>
      <c r="E123">
        <v>0.042709899999999995</v>
      </c>
      <c r="F123">
        <v>279243</v>
      </c>
      <c r="G123" s="8">
        <v>2860520</v>
      </c>
      <c r="H123" s="10">
        <f>D123*F123/G123</f>
        <v>0.9761966355767483</v>
      </c>
      <c r="I123">
        <v>104957</v>
      </c>
      <c r="J123" s="1">
        <f>(I123*D123/H123+O123/N123)/0.513/E123</f>
        <v>49252806.27821645</v>
      </c>
      <c r="K123" s="1">
        <f>J123*G5/G2</f>
        <v>49340967.625969835</v>
      </c>
      <c r="L123">
        <v>3883</v>
      </c>
      <c r="M123">
        <v>4075</v>
      </c>
      <c r="N123" s="10">
        <f>L123/M123</f>
        <v>0.9528834355828221</v>
      </c>
      <c r="O123">
        <v>3788</v>
      </c>
      <c r="AC123">
        <v>13287</v>
      </c>
      <c r="AD123">
        <v>14372</v>
      </c>
      <c r="AE123" s="10">
        <f>AC123/AD123</f>
        <v>0.9245059838575007</v>
      </c>
    </row>
    <row r="124" spans="1:30" ht="15.75">
      <c r="A124" s="19">
        <v>1345</v>
      </c>
      <c r="B124" t="s">
        <v>44</v>
      </c>
      <c r="C124">
        <v>56</v>
      </c>
      <c r="D124">
        <v>10</v>
      </c>
      <c r="E124">
        <v>0.06789579999999999</v>
      </c>
      <c r="F124">
        <v>562605</v>
      </c>
      <c r="G124" s="8">
        <v>5846760</v>
      </c>
      <c r="H124" s="10">
        <f>D124*F124/G124</f>
        <v>0.9622508876711204</v>
      </c>
      <c r="I124">
        <v>166397</v>
      </c>
      <c r="J124" s="1">
        <f>(I124*D124/H124+O124/N124)/0.513/E124</f>
        <v>49830863.33177333</v>
      </c>
      <c r="K124" s="1">
        <f>J124*G5/G2</f>
        <v>49920059.38785647</v>
      </c>
      <c r="L124">
        <v>4077</v>
      </c>
      <c r="M124">
        <v>4518</v>
      </c>
      <c r="N124" s="10">
        <f>L124/M124</f>
        <v>0.9023904382470119</v>
      </c>
      <c r="O124">
        <v>5765</v>
      </c>
      <c r="AC124">
        <v>13287</v>
      </c>
      <c r="AD124">
        <v>14372</v>
      </c>
    </row>
    <row r="125" spans="1:15" ht="15.75">
      <c r="A125" s="19">
        <v>1376</v>
      </c>
      <c r="B125" t="s">
        <v>56</v>
      </c>
      <c r="C125" s="11">
        <v>0.9</v>
      </c>
      <c r="D125">
        <v>1</v>
      </c>
      <c r="E125">
        <v>0.00169291</v>
      </c>
      <c r="F125">
        <v>322687</v>
      </c>
      <c r="G125">
        <v>334058</v>
      </c>
      <c r="H125" s="10">
        <f>D125*F125/G125</f>
        <v>0.9659610007842949</v>
      </c>
      <c r="I125">
        <v>116574</v>
      </c>
      <c r="J125" s="1">
        <f>(I125*D125/H125+O125/N125)/E125/0.513</f>
        <v>139305543.58009818</v>
      </c>
      <c r="K125" s="1">
        <f>J125-49600000*0.82</f>
        <v>98633543.58009818</v>
      </c>
      <c r="L125">
        <v>6661</v>
      </c>
      <c r="M125">
        <v>6886</v>
      </c>
      <c r="N125" s="10">
        <f>L125/M125</f>
        <v>0.9673250072611095</v>
      </c>
      <c r="O125">
        <v>290</v>
      </c>
    </row>
    <row r="126" spans="1:15" ht="15.75">
      <c r="A126" s="19">
        <v>1377</v>
      </c>
      <c r="B126" t="s">
        <v>56</v>
      </c>
      <c r="C126" s="11">
        <v>2</v>
      </c>
      <c r="D126">
        <v>1</v>
      </c>
      <c r="E126">
        <v>0.00306196</v>
      </c>
      <c r="F126">
        <v>527922</v>
      </c>
      <c r="G126">
        <v>564423</v>
      </c>
      <c r="H126" s="10">
        <f>D126*F126/G126</f>
        <v>0.9353304170808064</v>
      </c>
      <c r="I126">
        <v>199594</v>
      </c>
      <c r="J126" s="1">
        <f>(I126*D126/H126+O126/N126)/E126/0.513</f>
        <v>136174906.76859558</v>
      </c>
      <c r="K126" s="1">
        <f>J126-49600000*0.82</f>
        <v>95502906.76859558</v>
      </c>
      <c r="L126">
        <v>5400</v>
      </c>
      <c r="M126">
        <v>5769</v>
      </c>
      <c r="N126" s="10">
        <f>L126/M126</f>
        <v>0.9360374414976599</v>
      </c>
      <c r="O126">
        <v>475</v>
      </c>
    </row>
    <row r="127" spans="1:15" ht="15.75">
      <c r="A127" s="19">
        <v>1378</v>
      </c>
      <c r="B127" t="s">
        <v>56</v>
      </c>
      <c r="C127" s="11">
        <v>4.3</v>
      </c>
      <c r="D127">
        <v>2</v>
      </c>
      <c r="E127">
        <v>0.00665411</v>
      </c>
      <c r="F127">
        <v>556633</v>
      </c>
      <c r="G127" s="8">
        <v>1168000</v>
      </c>
      <c r="H127" s="10">
        <f>D127*F127/G127</f>
        <v>0.953138698630137</v>
      </c>
      <c r="I127">
        <v>213922</v>
      </c>
      <c r="J127" s="1">
        <f>(I127*D127/H127+O127/N127)/E127/0.513</f>
        <v>131840295.99046667</v>
      </c>
      <c r="K127" s="1">
        <f>J127-49600000*0.82</f>
        <v>91168295.99046667</v>
      </c>
      <c r="L127">
        <v>5227</v>
      </c>
      <c r="M127">
        <v>5731</v>
      </c>
      <c r="N127" s="10">
        <f>L127/M127</f>
        <v>0.9120572325946606</v>
      </c>
      <c r="O127">
        <v>1063</v>
      </c>
    </row>
    <row r="128" spans="1:15" ht="15.75">
      <c r="A128" s="19">
        <v>1379</v>
      </c>
      <c r="B128" t="s">
        <v>56</v>
      </c>
      <c r="C128" s="11">
        <v>9.5</v>
      </c>
      <c r="D128">
        <v>3</v>
      </c>
      <c r="E128">
        <v>0.0102826</v>
      </c>
      <c r="F128">
        <v>558128</v>
      </c>
      <c r="G128" s="8">
        <v>1782790</v>
      </c>
      <c r="H128" s="10">
        <f>D128*F128/G128</f>
        <v>0.9391930625592471</v>
      </c>
      <c r="I128">
        <v>216023</v>
      </c>
      <c r="J128" s="1">
        <f>(I128*D128/H128+O128/N128)/E128/0.513</f>
        <v>131172067.6298792</v>
      </c>
      <c r="K128" s="1">
        <f>J128-49600000*0.82</f>
        <v>90500067.6298792</v>
      </c>
      <c r="L128">
        <v>3512</v>
      </c>
      <c r="M128">
        <v>4009</v>
      </c>
      <c r="N128" s="10">
        <f>L128/M128</f>
        <v>0.8760289348964829</v>
      </c>
      <c r="O128">
        <v>1666</v>
      </c>
    </row>
    <row r="129" spans="1:15" ht="15.75">
      <c r="A129" s="19">
        <v>1380</v>
      </c>
      <c r="B129" t="s">
        <v>56</v>
      </c>
      <c r="C129" s="11">
        <v>9.7</v>
      </c>
      <c r="D129">
        <v>3</v>
      </c>
      <c r="E129">
        <v>0.010258</v>
      </c>
      <c r="F129">
        <v>557751</v>
      </c>
      <c r="G129" s="8">
        <v>1779550</v>
      </c>
      <c r="H129" s="10">
        <f>D129*F129/G129</f>
        <v>0.940267483352533</v>
      </c>
      <c r="I129">
        <v>216510</v>
      </c>
      <c r="J129" s="1">
        <f>(I129*D129/H129+O129/N129)/E129/0.513</f>
        <v>131624121.2374972</v>
      </c>
      <c r="K129" s="1">
        <f>J129-49600000*0.82</f>
        <v>90952121.2374972</v>
      </c>
      <c r="L129">
        <v>3434</v>
      </c>
      <c r="M129">
        <v>3916</v>
      </c>
      <c r="N129" s="10">
        <f>L129/M129</f>
        <v>0.8769152196118488</v>
      </c>
      <c r="O129">
        <v>1631</v>
      </c>
    </row>
    <row r="130" spans="1:15" ht="15.75">
      <c r="A130" s="19">
        <v>1381</v>
      </c>
      <c r="B130" t="s">
        <v>56</v>
      </c>
      <c r="C130" s="11">
        <v>23.2</v>
      </c>
      <c r="D130">
        <v>5</v>
      </c>
      <c r="E130">
        <v>0.0176133</v>
      </c>
      <c r="F130">
        <v>559013</v>
      </c>
      <c r="G130" s="8">
        <v>3043670</v>
      </c>
      <c r="H130" s="10">
        <f>D130*F130/G130</f>
        <v>0.9183206457993146</v>
      </c>
      <c r="I130">
        <v>216369</v>
      </c>
      <c r="J130" s="1">
        <f>(I130*D130/H130+O130/N130)/E130/0.513</f>
        <v>130759897.43862592</v>
      </c>
      <c r="K130" s="1">
        <f>J130-49600000*0.82</f>
        <v>90087897.43862592</v>
      </c>
      <c r="L130">
        <v>2332</v>
      </c>
      <c r="M130">
        <v>2815</v>
      </c>
      <c r="N130" s="10">
        <f>L130/M130</f>
        <v>0.8284191829484903</v>
      </c>
      <c r="O130">
        <v>2840</v>
      </c>
    </row>
    <row r="131" spans="1:15" ht="15.75">
      <c r="A131" s="19">
        <v>1382</v>
      </c>
      <c r="B131" t="s">
        <v>56</v>
      </c>
      <c r="C131">
        <v>24</v>
      </c>
      <c r="D131">
        <v>10</v>
      </c>
      <c r="E131">
        <v>0.033116</v>
      </c>
      <c r="F131">
        <v>546070</v>
      </c>
      <c r="G131" s="8">
        <v>5728350</v>
      </c>
      <c r="H131" s="10">
        <f>D131*F131/G131</f>
        <v>0.9532762488325609</v>
      </c>
      <c r="I131">
        <v>212513</v>
      </c>
      <c r="J131" s="1">
        <f>(I131*D131/H131+O131/N131)/E131/0.513</f>
        <v>131629295.77791838</v>
      </c>
      <c r="K131" s="1">
        <f>J131-49600000*0.82</f>
        <v>90957295.77791838</v>
      </c>
      <c r="L131">
        <v>4569</v>
      </c>
      <c r="M131">
        <v>5108</v>
      </c>
      <c r="N131" s="10">
        <f>L131/M131</f>
        <v>0.8944792482380579</v>
      </c>
      <c r="O131">
        <v>6167</v>
      </c>
    </row>
    <row r="132" spans="1:15" ht="15.75">
      <c r="A132" s="19">
        <v>1383</v>
      </c>
      <c r="B132" t="s">
        <v>56</v>
      </c>
      <c r="C132">
        <v>39</v>
      </c>
      <c r="D132">
        <v>20</v>
      </c>
      <c r="E132">
        <v>0.06358649999999999</v>
      </c>
      <c r="F132">
        <v>529484</v>
      </c>
      <c r="G132" s="8">
        <v>11032300</v>
      </c>
      <c r="H132" s="10">
        <f>D132*F132/G132</f>
        <v>0.9598796261885554</v>
      </c>
      <c r="I132">
        <v>205029</v>
      </c>
      <c r="J132" s="1">
        <f>(I132*D132/H132+O132/N132)/E132/0.513</f>
        <v>131406765.71900974</v>
      </c>
      <c r="K132" s="1">
        <f>J132-49600000*0.82</f>
        <v>90734765.71900974</v>
      </c>
      <c r="L132">
        <v>5552</v>
      </c>
      <c r="M132">
        <v>6058</v>
      </c>
      <c r="N132" s="10">
        <f>L132/M132</f>
        <v>0.9164740838560581</v>
      </c>
      <c r="O132">
        <v>13288</v>
      </c>
    </row>
    <row r="133" spans="1:31" ht="15.75">
      <c r="A133" s="19">
        <v>1418</v>
      </c>
      <c r="B133" t="s">
        <v>56</v>
      </c>
      <c r="C133">
        <v>38</v>
      </c>
      <c r="D133">
        <v>20</v>
      </c>
      <c r="E133">
        <v>0.0633533</v>
      </c>
      <c r="F133">
        <v>528797</v>
      </c>
      <c r="G133" s="8">
        <v>11001300</v>
      </c>
      <c r="H133" s="10">
        <f>D133*F133/G133</f>
        <v>0.9613354785343551</v>
      </c>
      <c r="I133">
        <v>204934</v>
      </c>
      <c r="J133" s="1">
        <f>(I133*D133/H133+O133/N133)/E133/0.513</f>
        <v>131626512.84868722</v>
      </c>
      <c r="K133" s="1">
        <f>J133-49600000*0.82</f>
        <v>90954512.84868722</v>
      </c>
      <c r="L133">
        <v>5662</v>
      </c>
      <c r="M133">
        <v>6198</v>
      </c>
      <c r="N133" s="10">
        <f>L133/M133</f>
        <v>0.9135204904808003</v>
      </c>
      <c r="O133">
        <v>13124</v>
      </c>
      <c r="P133">
        <v>20</v>
      </c>
      <c r="Q133">
        <v>2346</v>
      </c>
      <c r="R133" s="8">
        <v>8842930</v>
      </c>
      <c r="S133">
        <v>1287</v>
      </c>
      <c r="T133">
        <v>70</v>
      </c>
      <c r="U133">
        <v>80</v>
      </c>
      <c r="V133">
        <v>829889</v>
      </c>
      <c r="W133">
        <v>27</v>
      </c>
      <c r="X133">
        <v>70</v>
      </c>
      <c r="Y133">
        <v>673</v>
      </c>
      <c r="Z133">
        <v>612455</v>
      </c>
      <c r="AA133">
        <v>187</v>
      </c>
      <c r="AB133" s="10" t="e">
        <f>("#REF!#REF!"+"#REF!#REF!"+"#REF!#REF!")/H133</f>
        <v>#VALUE!</v>
      </c>
      <c r="AC133">
        <v>36633</v>
      </c>
      <c r="AD133">
        <v>39722</v>
      </c>
      <c r="AE133" s="10">
        <f>AC133/AD133</f>
        <v>0.9222345299833845</v>
      </c>
    </row>
    <row r="134" spans="1:31" ht="15.75">
      <c r="A134" s="19"/>
      <c r="G134" s="8"/>
      <c r="H134" s="10"/>
      <c r="J134" s="1" t="s">
        <v>58</v>
      </c>
      <c r="K134" s="1">
        <f>SUM(K128:K133)/6</f>
        <v>90697776.77526961</v>
      </c>
      <c r="N134" s="10"/>
      <c r="R134" s="8"/>
      <c r="AB134" s="10"/>
      <c r="AE134" s="10"/>
    </row>
    <row r="135" spans="1:31" ht="15.75">
      <c r="A135" s="15" t="s">
        <v>91</v>
      </c>
      <c r="G135" s="8"/>
      <c r="H135" s="10"/>
      <c r="K135" s="1"/>
      <c r="L135" s="9">
        <f>8.177/8.219</f>
        <v>0.9948898892809345</v>
      </c>
      <c r="M135" s="9">
        <f>(8.157+8.202)/2</f>
        <v>8.1795</v>
      </c>
      <c r="N135" s="10">
        <f>8.18/4.96</f>
        <v>1.6491935483870968</v>
      </c>
      <c r="R135" s="8"/>
      <c r="AB135" s="10"/>
      <c r="AE135" s="10"/>
    </row>
    <row r="136" spans="1:31" ht="15.75">
      <c r="A136" s="15" t="s">
        <v>74</v>
      </c>
      <c r="B136" s="9">
        <f>(0.005*0.003)/(0.014-0.005)/(0.0095-0.003)</f>
        <v>0.2564102564102564</v>
      </c>
      <c r="G136" s="8"/>
      <c r="H136" s="10"/>
      <c r="K136" s="1"/>
      <c r="N136" s="10"/>
      <c r="R136" s="8"/>
      <c r="AB136" s="10"/>
      <c r="AE136" s="10"/>
    </row>
    <row r="137" spans="1:31" ht="15.75">
      <c r="A137" s="23">
        <v>1376</v>
      </c>
      <c r="B137" t="s">
        <v>56</v>
      </c>
      <c r="C137" s="11">
        <v>0.9</v>
      </c>
      <c r="D137">
        <v>1</v>
      </c>
      <c r="E137">
        <v>0.00169291</v>
      </c>
      <c r="F137">
        <v>322687</v>
      </c>
      <c r="G137">
        <v>334058</v>
      </c>
      <c r="H137" s="10">
        <f>D137*F137/G137</f>
        <v>0.9659610007842949</v>
      </c>
      <c r="I137">
        <v>58389</v>
      </c>
      <c r="J137" s="1">
        <f>(I137*D137/H137+O137/N137)/E137/0.256</f>
        <v>139783109.15978882</v>
      </c>
      <c r="K137" s="1">
        <f>J137-49600000*0.82</f>
        <v>99111109.15978882</v>
      </c>
      <c r="L137">
        <v>6661</v>
      </c>
      <c r="M137">
        <v>6886</v>
      </c>
      <c r="N137" s="10">
        <f>L137/M137</f>
        <v>0.9673250072611095</v>
      </c>
      <c r="O137">
        <v>129</v>
      </c>
      <c r="R137" s="8"/>
      <c r="AB137" s="10"/>
      <c r="AE137" s="10"/>
    </row>
    <row r="138" spans="1:31" ht="15.75">
      <c r="A138" s="23">
        <v>1377</v>
      </c>
      <c r="B138" t="s">
        <v>56</v>
      </c>
      <c r="C138" s="11">
        <v>2</v>
      </c>
      <c r="D138">
        <v>1</v>
      </c>
      <c r="E138">
        <v>0.00306196</v>
      </c>
      <c r="F138">
        <v>527922</v>
      </c>
      <c r="G138">
        <v>564423</v>
      </c>
      <c r="H138" s="10">
        <f>D138*F138/G138</f>
        <v>0.9353304170808064</v>
      </c>
      <c r="I138">
        <v>100453</v>
      </c>
      <c r="J138" s="1">
        <f>(I138*D138/H138+O138/N138)/E138/0.256</f>
        <v>137343114.4379581</v>
      </c>
      <c r="K138" s="1">
        <f>J138-49600000*0.82</f>
        <v>96671114.43795809</v>
      </c>
      <c r="L138">
        <v>5400</v>
      </c>
      <c r="M138">
        <v>5769</v>
      </c>
      <c r="N138" s="10">
        <f>L138/M138</f>
        <v>0.9360374414976599</v>
      </c>
      <c r="O138">
        <v>243</v>
      </c>
      <c r="R138" s="8"/>
      <c r="AB138" s="10"/>
      <c r="AE138" s="10"/>
    </row>
    <row r="139" spans="1:31" ht="15.75">
      <c r="A139" s="23">
        <v>1378</v>
      </c>
      <c r="B139" t="s">
        <v>56</v>
      </c>
      <c r="C139" s="11">
        <v>4.3</v>
      </c>
      <c r="D139">
        <v>2</v>
      </c>
      <c r="E139">
        <v>0.00665411</v>
      </c>
      <c r="F139">
        <v>556633</v>
      </c>
      <c r="G139" s="8">
        <v>1168000</v>
      </c>
      <c r="H139" s="10">
        <f>D139*F139/G139</f>
        <v>0.953138698630137</v>
      </c>
      <c r="I139">
        <v>107719</v>
      </c>
      <c r="J139" s="1">
        <f>(I139*D139/H139+O139/N139)/E139/0.256</f>
        <v>133037623.68433215</v>
      </c>
      <c r="K139" s="1">
        <f>J139-49600000*0.82</f>
        <v>92365623.68433215</v>
      </c>
      <c r="L139">
        <v>5227</v>
      </c>
      <c r="M139">
        <v>5731</v>
      </c>
      <c r="N139" s="10">
        <f>L139/M139</f>
        <v>0.9120572325946606</v>
      </c>
      <c r="O139">
        <v>541</v>
      </c>
      <c r="R139" s="8"/>
      <c r="AB139" s="10"/>
      <c r="AE139" s="10"/>
    </row>
    <row r="140" spans="1:31" ht="15.75">
      <c r="A140" s="23">
        <v>1379</v>
      </c>
      <c r="B140" t="s">
        <v>56</v>
      </c>
      <c r="C140" s="11">
        <v>9.5</v>
      </c>
      <c r="D140">
        <v>3</v>
      </c>
      <c r="E140">
        <v>0.0102826</v>
      </c>
      <c r="F140">
        <v>558128</v>
      </c>
      <c r="G140" s="8">
        <v>1782790</v>
      </c>
      <c r="H140" s="10">
        <f>D140*F140/G140</f>
        <v>0.9391930625592471</v>
      </c>
      <c r="I140">
        <v>108379</v>
      </c>
      <c r="J140" s="1">
        <f>(I140*D140/H140+O140/N140)/E140/0.256</f>
        <v>131867702.83827378</v>
      </c>
      <c r="K140" s="1">
        <f>J140-49600000*0.82</f>
        <v>91195702.83827378</v>
      </c>
      <c r="L140">
        <v>3512</v>
      </c>
      <c r="M140">
        <v>4009</v>
      </c>
      <c r="N140" s="10">
        <f>L140/M140</f>
        <v>0.8760289348964829</v>
      </c>
      <c r="O140">
        <v>818</v>
      </c>
      <c r="R140" s="8"/>
      <c r="AB140" s="10"/>
      <c r="AE140" s="10"/>
    </row>
    <row r="141" spans="1:31" ht="15.75">
      <c r="A141" s="23">
        <v>1380</v>
      </c>
      <c r="B141" t="s">
        <v>56</v>
      </c>
      <c r="C141" s="11">
        <v>9.7</v>
      </c>
      <c r="D141">
        <v>3</v>
      </c>
      <c r="E141">
        <v>0.010258</v>
      </c>
      <c r="F141">
        <v>557751</v>
      </c>
      <c r="G141" s="8">
        <v>1779550</v>
      </c>
      <c r="H141" s="10">
        <f>D141*F141/G141</f>
        <v>0.940267483352533</v>
      </c>
      <c r="I141">
        <v>108799</v>
      </c>
      <c r="J141" s="1">
        <f>(I141*D141/H141+O141/N141)/E141/0.256</f>
        <v>132537151.87500891</v>
      </c>
      <c r="K141" s="1">
        <f>J141-49600000*0.82</f>
        <v>91865151.87500891</v>
      </c>
      <c r="L141">
        <v>3434</v>
      </c>
      <c r="M141">
        <v>3916</v>
      </c>
      <c r="N141" s="10">
        <f>L141/M141</f>
        <v>0.8769152196118488</v>
      </c>
      <c r="O141">
        <v>804</v>
      </c>
      <c r="R141" s="8"/>
      <c r="AB141" s="10"/>
      <c r="AE141" s="10"/>
    </row>
    <row r="142" spans="1:31" ht="15.75">
      <c r="A142" s="23">
        <v>1381</v>
      </c>
      <c r="B142" t="s">
        <v>56</v>
      </c>
      <c r="C142" s="11">
        <v>23.2</v>
      </c>
      <c r="D142">
        <v>5</v>
      </c>
      <c r="E142">
        <v>0.0176133</v>
      </c>
      <c r="F142">
        <v>559013</v>
      </c>
      <c r="G142" s="8">
        <v>3043670</v>
      </c>
      <c r="H142" s="10">
        <f>D142*F142/G142</f>
        <v>0.9183206457993146</v>
      </c>
      <c r="I142">
        <v>107846</v>
      </c>
      <c r="J142" s="1">
        <f>(I142*D142/H142+O142/N142)/E142/0.256</f>
        <v>130605203.19029453</v>
      </c>
      <c r="K142" s="1">
        <f>J142-49600000*0.82</f>
        <v>89933203.19029453</v>
      </c>
      <c r="L142">
        <v>2332</v>
      </c>
      <c r="M142">
        <v>2815</v>
      </c>
      <c r="N142" s="10">
        <f>L142/M142</f>
        <v>0.8284191829484903</v>
      </c>
      <c r="O142">
        <v>1415</v>
      </c>
      <c r="R142" s="8"/>
      <c r="AB142" s="10"/>
      <c r="AE142" s="10"/>
    </row>
    <row r="143" spans="1:31" ht="15.75">
      <c r="A143" s="23">
        <v>1382</v>
      </c>
      <c r="B143" t="s">
        <v>56</v>
      </c>
      <c r="C143">
        <v>24</v>
      </c>
      <c r="D143">
        <v>10</v>
      </c>
      <c r="E143">
        <v>0.033116</v>
      </c>
      <c r="F143">
        <v>546070</v>
      </c>
      <c r="G143" s="8">
        <v>5728350</v>
      </c>
      <c r="H143" s="10">
        <f>D143*F143/G143</f>
        <v>0.9532762488325609</v>
      </c>
      <c r="I143">
        <v>106682</v>
      </c>
      <c r="J143" s="1">
        <f>(I143*D143/H143+O143/N143)/E143/0.256</f>
        <v>132423109.85860968</v>
      </c>
      <c r="K143" s="1">
        <f>J143-49600000*0.82</f>
        <v>91751109.85860968</v>
      </c>
      <c r="L143">
        <v>4569</v>
      </c>
      <c r="M143">
        <v>5108</v>
      </c>
      <c r="N143" s="10">
        <f>L143/M143</f>
        <v>0.8944792482380579</v>
      </c>
      <c r="O143">
        <v>3161</v>
      </c>
      <c r="R143" s="8"/>
      <c r="AB143" s="10"/>
      <c r="AE143" s="10"/>
    </row>
    <row r="144" spans="1:31" ht="15.75">
      <c r="A144" s="23">
        <v>1383</v>
      </c>
      <c r="B144" t="s">
        <v>56</v>
      </c>
      <c r="C144">
        <v>39</v>
      </c>
      <c r="D144">
        <v>20</v>
      </c>
      <c r="E144">
        <v>0.06358649999999999</v>
      </c>
      <c r="F144">
        <v>529484</v>
      </c>
      <c r="G144" s="8">
        <v>11032300</v>
      </c>
      <c r="H144" s="10">
        <f>D144*F144/G144</f>
        <v>0.9598796261885554</v>
      </c>
      <c r="I144">
        <v>102404</v>
      </c>
      <c r="J144" s="1">
        <f>(I144*D144/H144+O144/N144)/E144/0.256</f>
        <v>131512394.67442787</v>
      </c>
      <c r="K144" s="1">
        <f>J144-49600000*0.82</f>
        <v>90840394.67442787</v>
      </c>
      <c r="L144">
        <v>5552</v>
      </c>
      <c r="M144">
        <v>6058</v>
      </c>
      <c r="N144" s="10">
        <f>L144/M144</f>
        <v>0.9164740838560581</v>
      </c>
      <c r="O144">
        <v>6501</v>
      </c>
      <c r="R144" s="8"/>
      <c r="AB144" s="10"/>
      <c r="AE144" s="10"/>
    </row>
    <row r="145" spans="1:31" ht="15.75">
      <c r="A145" s="23">
        <v>1418</v>
      </c>
      <c r="B145" t="s">
        <v>56</v>
      </c>
      <c r="C145">
        <v>38</v>
      </c>
      <c r="D145">
        <v>20</v>
      </c>
      <c r="E145">
        <v>0.0633533</v>
      </c>
      <c r="F145">
        <v>528797</v>
      </c>
      <c r="G145" s="8">
        <v>11001300</v>
      </c>
      <c r="H145" s="10">
        <f>D145*F145/G145</f>
        <v>0.9613354785343551</v>
      </c>
      <c r="I145">
        <v>102386</v>
      </c>
      <c r="J145" s="1">
        <f>(I145*D145/H145+O145/N145)/E145/0.256</f>
        <v>131782999.485527</v>
      </c>
      <c r="K145" s="1">
        <f>J145-49600000*0.82</f>
        <v>91110999.485527</v>
      </c>
      <c r="L145">
        <v>5662</v>
      </c>
      <c r="M145">
        <v>6198</v>
      </c>
      <c r="N145" s="10">
        <f>L145/M145</f>
        <v>0.9135204904808003</v>
      </c>
      <c r="O145">
        <v>6611</v>
      </c>
      <c r="R145" s="8"/>
      <c r="AB145" s="10"/>
      <c r="AE145" s="10"/>
    </row>
    <row r="146" spans="1:31" ht="15.75">
      <c r="A146" s="15"/>
      <c r="G146" s="8"/>
      <c r="H146" s="10"/>
      <c r="J146" s="1" t="s">
        <v>58</v>
      </c>
      <c r="K146" s="1">
        <f>SUM(K140:K145)/6</f>
        <v>91116093.6536903</v>
      </c>
      <c r="N146" s="10"/>
      <c r="R146" s="8"/>
      <c r="AB146" s="10"/>
      <c r="AE146" s="10"/>
    </row>
    <row r="147" spans="1:31" ht="15.75">
      <c r="A147" s="15"/>
      <c r="G147" s="8"/>
      <c r="H147" s="10"/>
      <c r="K147" s="1"/>
      <c r="N147" s="10"/>
      <c r="R147" s="8"/>
      <c r="AB147" s="10"/>
      <c r="AE147" s="10"/>
    </row>
    <row r="148" spans="1:31" ht="15.75">
      <c r="A148" t="s">
        <v>27</v>
      </c>
      <c r="B148" t="s">
        <v>28</v>
      </c>
      <c r="C148" t="s">
        <v>1</v>
      </c>
      <c r="D148" t="s">
        <v>29</v>
      </c>
      <c r="E148" t="s">
        <v>30</v>
      </c>
      <c r="F148" t="s">
        <v>31</v>
      </c>
      <c r="G148" t="s">
        <v>32</v>
      </c>
      <c r="H148" t="s">
        <v>33</v>
      </c>
      <c r="I148" t="s">
        <v>34</v>
      </c>
      <c r="J148" s="1" t="s">
        <v>35</v>
      </c>
      <c r="K148" t="s">
        <v>36</v>
      </c>
      <c r="L148" t="s">
        <v>37</v>
      </c>
      <c r="M148" t="s">
        <v>38</v>
      </c>
      <c r="N148" t="s">
        <v>39</v>
      </c>
      <c r="O148" t="s">
        <v>40</v>
      </c>
      <c r="R148" s="8"/>
      <c r="AB148" s="10"/>
      <c r="AE148" s="10"/>
    </row>
    <row r="149" spans="1:31" ht="15.75">
      <c r="A149" s="15"/>
      <c r="G149" s="8"/>
      <c r="H149" s="10"/>
      <c r="K149" s="1"/>
      <c r="N149" s="10"/>
      <c r="R149" s="8"/>
      <c r="AB149" s="10"/>
      <c r="AE149" s="10"/>
    </row>
    <row r="150" spans="1:31" ht="15.75">
      <c r="A150" s="15" t="s">
        <v>92</v>
      </c>
      <c r="G150" s="8"/>
      <c r="H150" s="10"/>
      <c r="J150" s="1" t="e">
        <f>(I150*D150/H150+O150/N150+AB150)/E150/0.513</f>
        <v>#DIV/0!</v>
      </c>
      <c r="K150" s="1"/>
      <c r="N150" s="10"/>
      <c r="R150" s="8"/>
      <c r="AB150" s="10"/>
      <c r="AE150" s="10"/>
    </row>
    <row r="151" spans="1:31" ht="15.75">
      <c r="A151" s="15" t="s">
        <v>50</v>
      </c>
      <c r="B151" s="9">
        <f>0.005*0.0035/0.0085/0.0051</f>
        <v>0.40369088811995385</v>
      </c>
      <c r="G151" s="8"/>
      <c r="H151" s="10"/>
      <c r="J151" s="1" t="e">
        <f>(I151*D151/H151+O151/N151+AB151)/E151/0.513</f>
        <v>#DIV/0!</v>
      </c>
      <c r="K151" s="1"/>
      <c r="N151" s="10"/>
      <c r="R151" s="8"/>
      <c r="AB151" s="10"/>
      <c r="AE151" s="10"/>
    </row>
    <row r="152" spans="1:31" ht="15.75">
      <c r="A152" s="20">
        <v>1934</v>
      </c>
      <c r="B152" t="s">
        <v>56</v>
      </c>
      <c r="C152" s="11">
        <v>38</v>
      </c>
      <c r="D152">
        <v>30</v>
      </c>
      <c r="E152">
        <v>0.0640796</v>
      </c>
      <c r="F152">
        <v>423914</v>
      </c>
      <c r="G152" s="8">
        <v>13384400</v>
      </c>
      <c r="H152" s="10">
        <f>D152*F152/G152</f>
        <v>0.9501673590149726</v>
      </c>
      <c r="I152">
        <v>118590</v>
      </c>
      <c r="J152" s="1">
        <f>(I152*D152/H152+O152/N152+AB152)/E152/0.404</f>
        <v>145039552.52398312</v>
      </c>
      <c r="K152" s="1">
        <f>J152-51100000*0.82</f>
        <v>103137552.52398312</v>
      </c>
      <c r="L152">
        <v>5670</v>
      </c>
      <c r="M152">
        <v>6209</v>
      </c>
      <c r="N152" s="10">
        <f>L152/M152</f>
        <v>0.9131905298759865</v>
      </c>
      <c r="O152">
        <v>9606</v>
      </c>
      <c r="R152" s="8"/>
      <c r="AB152" s="10"/>
      <c r="AE152" s="10"/>
    </row>
    <row r="153" spans="1:31" ht="15.75">
      <c r="A153" s="20">
        <v>1935</v>
      </c>
      <c r="B153" t="s">
        <v>56</v>
      </c>
      <c r="C153" s="11">
        <v>38</v>
      </c>
      <c r="D153">
        <v>30</v>
      </c>
      <c r="E153">
        <v>0.0628571</v>
      </c>
      <c r="F153">
        <v>420040</v>
      </c>
      <c r="G153" s="8">
        <v>13286200</v>
      </c>
      <c r="H153" s="10">
        <f>D153*F153/G153</f>
        <v>0.9484427451039424</v>
      </c>
      <c r="I153">
        <v>115890</v>
      </c>
      <c r="J153" s="1">
        <f>(I153*D153/H153+O153/N153+AB153)/E153/0.404</f>
        <v>144758436.68790495</v>
      </c>
      <c r="K153" s="1">
        <f>J153-51100000*0.82</f>
        <v>102856436.68790495</v>
      </c>
      <c r="L153">
        <v>5531</v>
      </c>
      <c r="M153">
        <v>6111</v>
      </c>
      <c r="N153" s="10">
        <f>L153/M153</f>
        <v>0.9050891834396989</v>
      </c>
      <c r="O153">
        <v>9360</v>
      </c>
      <c r="R153" s="8"/>
      <c r="AB153" s="10"/>
      <c r="AE153" s="10"/>
    </row>
    <row r="154" spans="1:31" ht="15.75">
      <c r="A154" s="20">
        <v>1936</v>
      </c>
      <c r="B154" t="s">
        <v>56</v>
      </c>
      <c r="C154" s="11">
        <v>38</v>
      </c>
      <c r="D154">
        <v>30</v>
      </c>
      <c r="E154">
        <v>0.0626042</v>
      </c>
      <c r="F154">
        <v>419339</v>
      </c>
      <c r="G154" s="8">
        <v>13284900</v>
      </c>
      <c r="H154" s="10">
        <f>D154*F154/G154</f>
        <v>0.9469525551566064</v>
      </c>
      <c r="I154">
        <v>115972</v>
      </c>
      <c r="J154" s="1">
        <f>(I154*D154/H154+O154/N154+AB154)/E154/0.404</f>
        <v>145681526.87411615</v>
      </c>
      <c r="K154" s="1">
        <f>J154-51100000*0.82</f>
        <v>103779526.87411615</v>
      </c>
      <c r="L154">
        <v>5522</v>
      </c>
      <c r="M154">
        <v>6070</v>
      </c>
      <c r="N154" s="10">
        <f>L154/M154</f>
        <v>0.9097199341021417</v>
      </c>
      <c r="O154">
        <v>9581</v>
      </c>
      <c r="R154" s="8"/>
      <c r="AB154" s="10"/>
      <c r="AE154" s="10"/>
    </row>
    <row r="155" spans="1:31" ht="15.75">
      <c r="A155" s="20">
        <v>1950</v>
      </c>
      <c r="B155" t="s">
        <v>56</v>
      </c>
      <c r="C155" s="11">
        <v>34</v>
      </c>
      <c r="D155">
        <v>30</v>
      </c>
      <c r="E155">
        <v>0.0653894</v>
      </c>
      <c r="F155">
        <v>428927</v>
      </c>
      <c r="G155" s="8">
        <v>13472600</v>
      </c>
      <c r="H155" s="10">
        <f>D155*F155/G155</f>
        <v>0.9551096299155323</v>
      </c>
      <c r="I155">
        <v>121536</v>
      </c>
      <c r="J155" s="1">
        <f>(I155*D155/H155+O155/N155+AB155)/E155/0.404</f>
        <v>144894920.9105025</v>
      </c>
      <c r="K155" s="1">
        <f>J155-51100000*0.82</f>
        <v>102992920.9105025</v>
      </c>
      <c r="L155">
        <v>6598</v>
      </c>
      <c r="M155">
        <v>7185</v>
      </c>
      <c r="N155" s="10">
        <f>L155/M155</f>
        <v>0.9183020180932498</v>
      </c>
      <c r="O155">
        <v>9448</v>
      </c>
      <c r="R155" s="8"/>
      <c r="AB155" s="10"/>
      <c r="AE155" s="10"/>
    </row>
    <row r="156" spans="1:31" ht="15.75">
      <c r="A156" s="20">
        <v>1951</v>
      </c>
      <c r="B156" t="s">
        <v>56</v>
      </c>
      <c r="C156" s="11">
        <v>26</v>
      </c>
      <c r="D156">
        <v>30</v>
      </c>
      <c r="E156">
        <v>0.025766999999999998</v>
      </c>
      <c r="F156">
        <v>170379</v>
      </c>
      <c r="G156" s="8">
        <v>5352680</v>
      </c>
      <c r="H156" s="10">
        <f>D156*F156/G156</f>
        <v>0.9549179102804577</v>
      </c>
      <c r="I156">
        <v>47662</v>
      </c>
      <c r="J156" s="1">
        <f>(I156*D156/H156+O156/N156+AB156)/E156/0.404</f>
        <v>144224402.66933236</v>
      </c>
      <c r="K156" s="1">
        <f>J156-51100000*0.82</f>
        <v>102322402.66933236</v>
      </c>
      <c r="L156">
        <v>3414</v>
      </c>
      <c r="M156">
        <v>3633</v>
      </c>
      <c r="N156" s="10">
        <f>L156/M156</f>
        <v>0.9397192402972749</v>
      </c>
      <c r="O156">
        <v>3752</v>
      </c>
      <c r="R156" s="8"/>
      <c r="AB156" s="10"/>
      <c r="AE156" s="10"/>
    </row>
    <row r="157" spans="1:31" ht="15.75">
      <c r="A157" s="20">
        <v>1952</v>
      </c>
      <c r="B157" t="s">
        <v>56</v>
      </c>
      <c r="C157" s="11">
        <v>18</v>
      </c>
      <c r="D157">
        <v>30</v>
      </c>
      <c r="E157">
        <v>0.0100099</v>
      </c>
      <c r="F157">
        <v>60564</v>
      </c>
      <c r="G157" s="8">
        <v>1846300</v>
      </c>
      <c r="H157" s="10">
        <f>D157*F157/G157</f>
        <v>0.9840870931051292</v>
      </c>
      <c r="I157">
        <v>18466</v>
      </c>
      <c r="J157" s="1">
        <f>(I157*D157/H157+O157/N157+AB157)/E157/0.404</f>
        <v>139482926.5972014</v>
      </c>
      <c r="K157" s="1">
        <f>J157-51100000*0.82</f>
        <v>97580926.5972014</v>
      </c>
      <c r="L157">
        <v>2055</v>
      </c>
      <c r="M157">
        <v>2140</v>
      </c>
      <c r="N157" s="10">
        <f>L157/M157</f>
        <v>0.9602803738317757</v>
      </c>
      <c r="O157">
        <v>1086</v>
      </c>
      <c r="R157" s="8"/>
      <c r="AB157" s="10"/>
      <c r="AE157" s="10"/>
    </row>
    <row r="158" spans="1:31" ht="15.75">
      <c r="A158" s="20"/>
      <c r="C158" s="11"/>
      <c r="G158" s="8"/>
      <c r="H158" s="10"/>
      <c r="J158" s="1" t="s">
        <v>58</v>
      </c>
      <c r="K158" s="1">
        <f>SUM(K152:K157)/6</f>
        <v>102111627.71050675</v>
      </c>
      <c r="N158" s="10"/>
      <c r="R158" s="8"/>
      <c r="AB158" s="10"/>
      <c r="AE158" s="10"/>
    </row>
    <row r="159" spans="19:27" ht="15.75">
      <c r="S159" s="10"/>
      <c r="W159" s="10"/>
      <c r="AA159" s="10"/>
    </row>
    <row r="160" ht="15.75">
      <c r="A160" t="s">
        <v>93</v>
      </c>
    </row>
    <row r="161" spans="1:2" ht="15.75">
      <c r="A161" t="s">
        <v>90</v>
      </c>
      <c r="B161" s="9">
        <f>0.004*0.006/(0.0075*0.0078)</f>
        <v>0.41025641025641024</v>
      </c>
    </row>
    <row r="162" spans="1:15" ht="15.75">
      <c r="A162" t="s">
        <v>27</v>
      </c>
      <c r="B162" t="s">
        <v>28</v>
      </c>
      <c r="C162" t="s">
        <v>1</v>
      </c>
      <c r="D162" t="s">
        <v>29</v>
      </c>
      <c r="E162" t="s">
        <v>30</v>
      </c>
      <c r="F162" t="s">
        <v>31</v>
      </c>
      <c r="G162" t="s">
        <v>32</v>
      </c>
      <c r="H162" t="s">
        <v>33</v>
      </c>
      <c r="I162" t="s">
        <v>34</v>
      </c>
      <c r="J162" s="1" t="s">
        <v>35</v>
      </c>
      <c r="K162" t="s">
        <v>36</v>
      </c>
      <c r="L162" t="s">
        <v>37</v>
      </c>
      <c r="M162" t="s">
        <v>38</v>
      </c>
      <c r="N162" t="s">
        <v>39</v>
      </c>
      <c r="O162" t="s">
        <v>40</v>
      </c>
    </row>
    <row r="163" spans="1:15" ht="15.75">
      <c r="A163" s="19">
        <v>1541</v>
      </c>
      <c r="B163" t="s">
        <v>47</v>
      </c>
      <c r="C163">
        <v>33</v>
      </c>
      <c r="D163">
        <v>19</v>
      </c>
      <c r="E163">
        <v>0.0816755</v>
      </c>
      <c r="F163">
        <v>265718</v>
      </c>
      <c r="G163" s="8">
        <v>5093510</v>
      </c>
      <c r="H163" s="10">
        <f>D163*F163/G163</f>
        <v>0.9911911432391416</v>
      </c>
      <c r="I163">
        <v>219046</v>
      </c>
      <c r="J163" s="1">
        <f>(I163*D163/H163+O163/N163)/E163</f>
        <v>51474190.43154989</v>
      </c>
      <c r="K163" s="10">
        <f>J163*G5/G2</f>
        <v>51566328.00392141</v>
      </c>
      <c r="L163">
        <v>9079</v>
      </c>
      <c r="M163">
        <v>9303</v>
      </c>
      <c r="N163" s="10">
        <f>L163/M163</f>
        <v>0.9759217456734387</v>
      </c>
      <c r="O163">
        <v>5191</v>
      </c>
    </row>
    <row r="164" spans="1:15" ht="15.75">
      <c r="A164" s="19">
        <v>1556</v>
      </c>
      <c r="B164" t="s">
        <v>44</v>
      </c>
      <c r="C164">
        <v>23</v>
      </c>
      <c r="D164">
        <v>8</v>
      </c>
      <c r="E164">
        <v>0.058434299999999995</v>
      </c>
      <c r="F164">
        <v>494762</v>
      </c>
      <c r="G164" s="8">
        <v>4134970</v>
      </c>
      <c r="H164" s="10">
        <f>D164*F164/G164</f>
        <v>0.9572248408090023</v>
      </c>
      <c r="I164">
        <v>141362</v>
      </c>
      <c r="J164" s="1">
        <f>(I164*D164/H164+O164/N164)/E164/0.41</f>
        <v>49371862.29050336</v>
      </c>
      <c r="K164" s="1">
        <f>J164*G5/G2</f>
        <v>49460236.7456773</v>
      </c>
      <c r="L164">
        <v>8721</v>
      </c>
      <c r="M164">
        <v>9284</v>
      </c>
      <c r="N164" s="10">
        <f>L164/M164</f>
        <v>0.9393580353295993</v>
      </c>
      <c r="O164">
        <v>1336</v>
      </c>
    </row>
    <row r="165" spans="1:15" ht="15.75">
      <c r="A165" s="19">
        <v>1557</v>
      </c>
      <c r="B165" t="s">
        <v>44</v>
      </c>
      <c r="C165">
        <v>35</v>
      </c>
      <c r="D165">
        <v>8</v>
      </c>
      <c r="E165">
        <v>0.0627856</v>
      </c>
      <c r="F165">
        <v>515765</v>
      </c>
      <c r="G165" s="8">
        <v>4300240</v>
      </c>
      <c r="H165" s="10">
        <f>D165*F165/G165</f>
        <v>0.959509236693766</v>
      </c>
      <c r="I165">
        <v>151068</v>
      </c>
      <c r="J165" s="1">
        <f>(I165*D165/H165+O165/N165)/E165/0.41</f>
        <v>48991834.48350427</v>
      </c>
      <c r="K165" s="1">
        <f>J165*G5/G2</f>
        <v>49079528.69797356</v>
      </c>
      <c r="L165">
        <v>6054</v>
      </c>
      <c r="M165">
        <v>6589</v>
      </c>
      <c r="N165" s="10">
        <f>L165/M165</f>
        <v>0.9188040673850356</v>
      </c>
      <c r="O165">
        <v>1478</v>
      </c>
    </row>
    <row r="166" spans="1:15" ht="15.75">
      <c r="A166" s="19">
        <v>1587</v>
      </c>
      <c r="B166" t="s">
        <v>44</v>
      </c>
      <c r="C166">
        <v>8.9</v>
      </c>
      <c r="D166">
        <v>19</v>
      </c>
      <c r="E166">
        <v>0.0199086</v>
      </c>
      <c r="F166">
        <v>69950</v>
      </c>
      <c r="G166" s="8">
        <v>1344180</v>
      </c>
      <c r="H166" s="10">
        <f>D166*F166/G166</f>
        <v>0.9887440670148343</v>
      </c>
      <c r="I166">
        <v>20834</v>
      </c>
      <c r="J166" s="1">
        <f>(I166*D166/H166+O166/N166)/E166/0.41</f>
        <v>49110595.404361874</v>
      </c>
      <c r="K166" s="1">
        <f>J166*G5/G2</f>
        <v>49198502.19804511</v>
      </c>
      <c r="L166">
        <v>1968</v>
      </c>
      <c r="M166">
        <v>2036</v>
      </c>
      <c r="N166" s="10">
        <f>L166/M166</f>
        <v>0.9666011787819253</v>
      </c>
      <c r="O166">
        <v>497</v>
      </c>
    </row>
    <row r="167" spans="1:15" ht="15.75">
      <c r="A167" s="19">
        <v>1588</v>
      </c>
      <c r="B167" t="s">
        <v>44</v>
      </c>
      <c r="C167">
        <v>24</v>
      </c>
      <c r="D167">
        <v>19</v>
      </c>
      <c r="E167">
        <v>0.0457046</v>
      </c>
      <c r="F167">
        <v>163286</v>
      </c>
      <c r="G167" s="8">
        <v>3138910</v>
      </c>
      <c r="H167" s="10">
        <f>D167*F167/G167</f>
        <v>0.9883794055898385</v>
      </c>
      <c r="I167">
        <v>47800</v>
      </c>
      <c r="J167" s="1">
        <f>(I167*D167/H167+O167/N167)/E167/0.41</f>
        <v>49097175.63277612</v>
      </c>
      <c r="K167" s="1">
        <f>J167*G5/G2</f>
        <v>49185058.4053885</v>
      </c>
      <c r="L167">
        <v>5153</v>
      </c>
      <c r="M167">
        <v>5322</v>
      </c>
      <c r="N167" s="10">
        <f>L167/M167</f>
        <v>0.9682450206689215</v>
      </c>
      <c r="O167">
        <v>1112</v>
      </c>
    </row>
    <row r="168" spans="1:15" ht="15.75">
      <c r="A168" s="19">
        <v>1521</v>
      </c>
      <c r="B168" t="s">
        <v>56</v>
      </c>
      <c r="C168">
        <v>9.5</v>
      </c>
      <c r="D168">
        <v>5</v>
      </c>
      <c r="E168">
        <v>0.00213807</v>
      </c>
      <c r="F168">
        <v>71176</v>
      </c>
      <c r="G168">
        <v>370282</v>
      </c>
      <c r="H168" s="10">
        <f>D168*F168/G168</f>
        <v>0.9611053197292874</v>
      </c>
      <c r="I168">
        <v>21774</v>
      </c>
      <c r="J168" s="1">
        <f>(I168*D168/H168+O168/N168)/E168/0.41</f>
        <v>129405498.39870049</v>
      </c>
      <c r="K168" s="1">
        <f>J168-49200000*0.82</f>
        <v>89061498.39870049</v>
      </c>
      <c r="L168">
        <v>769</v>
      </c>
      <c r="M168">
        <v>860</v>
      </c>
      <c r="N168" s="10">
        <f>L168/M168</f>
        <v>0.8941860465116279</v>
      </c>
      <c r="O168">
        <v>145</v>
      </c>
    </row>
    <row r="169" spans="1:15" ht="15.75">
      <c r="A169" s="19">
        <v>1522</v>
      </c>
      <c r="B169" t="s">
        <v>56</v>
      </c>
      <c r="C169">
        <v>19.3</v>
      </c>
      <c r="D169">
        <v>5</v>
      </c>
      <c r="E169">
        <v>0.00344201</v>
      </c>
      <c r="F169">
        <v>108029</v>
      </c>
      <c r="G169">
        <v>595898</v>
      </c>
      <c r="H169" s="10">
        <f>D169*F169/G169</f>
        <v>0.9064386858153577</v>
      </c>
      <c r="I169">
        <v>33222</v>
      </c>
      <c r="J169" s="1">
        <f>(I169*D169/H169+O169/N169)/E169/0.41</f>
        <v>130212452.02169156</v>
      </c>
      <c r="K169" s="1">
        <f>J169-49200000*0.82</f>
        <v>89868452.02169156</v>
      </c>
      <c r="L169">
        <v>564</v>
      </c>
      <c r="M169">
        <v>689</v>
      </c>
      <c r="N169" s="10">
        <f>L169/M169</f>
        <v>0.818577648766328</v>
      </c>
      <c r="O169">
        <v>412</v>
      </c>
    </row>
    <row r="170" spans="1:15" ht="15.75">
      <c r="A170" s="19">
        <v>1523</v>
      </c>
      <c r="B170" t="s">
        <v>56</v>
      </c>
      <c r="C170">
        <v>36</v>
      </c>
      <c r="D170">
        <v>19</v>
      </c>
      <c r="E170">
        <v>0.057201999999999996</v>
      </c>
      <c r="F170">
        <v>499013</v>
      </c>
      <c r="G170" s="8">
        <v>9930120</v>
      </c>
      <c r="H170" s="10">
        <f>D170*F170/G170</f>
        <v>0.9547968201794137</v>
      </c>
      <c r="I170">
        <v>152430</v>
      </c>
      <c r="J170" s="1">
        <f>(I170*D170/H170+O170/N170)/E170/0.41</f>
        <v>129993759.78097294</v>
      </c>
      <c r="K170" s="1">
        <f>J170-49200000*0.82</f>
        <v>89649759.78097294</v>
      </c>
      <c r="L170">
        <v>5316</v>
      </c>
      <c r="M170">
        <v>5833</v>
      </c>
      <c r="N170" s="10">
        <f>L170/M170</f>
        <v>0.9113663637922167</v>
      </c>
      <c r="O170">
        <v>14068</v>
      </c>
    </row>
    <row r="171" spans="1:15" ht="15.75">
      <c r="A171" s="19">
        <v>1538</v>
      </c>
      <c r="B171" t="s">
        <v>56</v>
      </c>
      <c r="C171">
        <v>34</v>
      </c>
      <c r="D171">
        <v>19</v>
      </c>
      <c r="E171">
        <v>0.0572487</v>
      </c>
      <c r="F171">
        <v>499520</v>
      </c>
      <c r="G171" s="8">
        <v>9933750</v>
      </c>
      <c r="H171" s="10">
        <f>D171*F171/G171</f>
        <v>0.955417641877438</v>
      </c>
      <c r="I171">
        <v>153559</v>
      </c>
      <c r="J171" s="1">
        <f>(I171*D171/H171+O171/N171)/E171/0.41</f>
        <v>130755540.9745317</v>
      </c>
      <c r="K171" s="1">
        <f>J171-49200000*0.82</f>
        <v>90411540.9745317</v>
      </c>
      <c r="L171">
        <v>5820</v>
      </c>
      <c r="M171">
        <v>6339</v>
      </c>
      <c r="N171" s="10">
        <f>L171/M171</f>
        <v>0.9181258873639375</v>
      </c>
      <c r="O171">
        <v>14070</v>
      </c>
    </row>
    <row r="172" spans="1:15" ht="15.75">
      <c r="A172" s="19">
        <v>1551</v>
      </c>
      <c r="B172" t="s">
        <v>56</v>
      </c>
      <c r="C172">
        <v>36</v>
      </c>
      <c r="D172">
        <v>19</v>
      </c>
      <c r="E172">
        <v>0.037593999999999995</v>
      </c>
      <c r="F172">
        <v>328727</v>
      </c>
      <c r="G172" s="8">
        <v>6533810</v>
      </c>
      <c r="H172" s="10">
        <f>D172*F172/G172</f>
        <v>0.9559220424224151</v>
      </c>
      <c r="I172">
        <v>101005</v>
      </c>
      <c r="J172" s="1">
        <f>(I172*D172/H172+O172/N172)/E172/0.41</f>
        <v>130913641.33478004</v>
      </c>
      <c r="K172" s="1">
        <f>J172-49200000*0.82</f>
        <v>90569641.33478004</v>
      </c>
      <c r="L172">
        <v>3482</v>
      </c>
      <c r="M172">
        <v>3870</v>
      </c>
      <c r="N172" s="10">
        <f>L172/M172</f>
        <v>0.8997416020671835</v>
      </c>
      <c r="O172">
        <v>9229</v>
      </c>
    </row>
    <row r="173" spans="1:15" ht="15.75">
      <c r="A173" s="19">
        <v>1585</v>
      </c>
      <c r="B173" t="s">
        <v>56</v>
      </c>
      <c r="C173">
        <v>37</v>
      </c>
      <c r="D173">
        <v>19</v>
      </c>
      <c r="E173">
        <v>0.0520736</v>
      </c>
      <c r="F173">
        <v>458334</v>
      </c>
      <c r="G173" s="8">
        <v>9190990</v>
      </c>
      <c r="H173" s="10">
        <f>D173*F173/G173</f>
        <v>0.9474872674216814</v>
      </c>
      <c r="I173">
        <v>138338</v>
      </c>
      <c r="J173" s="1">
        <f>(I173*D173/H173+O173/N173)/E173/0.41</f>
        <v>130596514.97928953</v>
      </c>
      <c r="K173" s="1">
        <f>J173-49200000*0.82</f>
        <v>90252514.97928953</v>
      </c>
      <c r="L173">
        <v>4764</v>
      </c>
      <c r="M173">
        <v>5305</v>
      </c>
      <c r="N173" s="10">
        <f>L173/M173</f>
        <v>0.8980207351555136</v>
      </c>
      <c r="O173">
        <v>12717</v>
      </c>
    </row>
    <row r="174" spans="1:15" ht="15.75">
      <c r="A174" s="19">
        <v>1593</v>
      </c>
      <c r="B174" t="s">
        <v>56</v>
      </c>
      <c r="C174">
        <v>36</v>
      </c>
      <c r="D174">
        <v>19</v>
      </c>
      <c r="E174">
        <v>0.027503899999999998</v>
      </c>
      <c r="F174">
        <v>238083</v>
      </c>
      <c r="G174" s="8">
        <v>4794030</v>
      </c>
      <c r="H174" s="10">
        <f>D174*F174/G174</f>
        <v>0.9435854594151476</v>
      </c>
      <c r="I174">
        <v>73392</v>
      </c>
      <c r="J174" s="1">
        <f>(I174*D174/H174+O174/N174)/E174/0.41</f>
        <v>131682277.8358137</v>
      </c>
      <c r="K174" s="1">
        <f>J174-49200000*0.82</f>
        <v>91338277.8358137</v>
      </c>
      <c r="L174">
        <v>2540</v>
      </c>
      <c r="M174">
        <v>2827</v>
      </c>
      <c r="N174" s="10">
        <f>L174/M174</f>
        <v>0.8984789529536611</v>
      </c>
      <c r="O174">
        <v>6388</v>
      </c>
    </row>
    <row r="175" spans="1:14" ht="15.75">
      <c r="A175" s="15" t="s">
        <v>94</v>
      </c>
      <c r="G175" s="8"/>
      <c r="H175" s="10"/>
      <c r="J175" s="1" t="s">
        <v>58</v>
      </c>
      <c r="K175" s="1">
        <f>SUM(K168:K174)/7</f>
        <v>90164526.47511141</v>
      </c>
      <c r="N175" s="10"/>
    </row>
    <row r="176" spans="1:14" ht="15.75">
      <c r="A176" s="15" t="s">
        <v>69</v>
      </c>
      <c r="B176" s="10">
        <f>0.004*0.006/0.0075/0.007</f>
        <v>0.4571428571428571</v>
      </c>
      <c r="G176" s="8"/>
      <c r="H176" s="10"/>
      <c r="J176" s="22"/>
      <c r="K176" s="1"/>
      <c r="N176" s="10"/>
    </row>
    <row r="177" spans="1:14" ht="15.75">
      <c r="A177" s="15" t="s">
        <v>95</v>
      </c>
      <c r="G177" s="8"/>
      <c r="H177" s="10"/>
      <c r="I177" s="1"/>
      <c r="K177" s="1"/>
      <c r="N177" s="10"/>
    </row>
    <row r="178" spans="1:15" ht="15.75">
      <c r="A178" s="18">
        <v>1596</v>
      </c>
      <c r="B178" t="s">
        <v>56</v>
      </c>
      <c r="C178">
        <v>29</v>
      </c>
      <c r="D178">
        <v>19</v>
      </c>
      <c r="E178">
        <v>0.033899</v>
      </c>
      <c r="F178">
        <v>291772</v>
      </c>
      <c r="G178" s="8">
        <v>5871260</v>
      </c>
      <c r="H178" s="10">
        <f>D178*F178/G178</f>
        <v>0.944204140167528</v>
      </c>
      <c r="I178">
        <v>104368</v>
      </c>
      <c r="J178" s="1">
        <f>(I178*D178/H178+O178/N178)/E178/0.46</f>
        <v>135332193.61627975</v>
      </c>
      <c r="K178" s="1">
        <f>J178-49200000*0.82</f>
        <v>94988193.61627975</v>
      </c>
      <c r="L178">
        <v>4038</v>
      </c>
      <c r="M178">
        <v>4385</v>
      </c>
      <c r="N178" s="10">
        <f>L178/M178</f>
        <v>0.920866590649943</v>
      </c>
      <c r="O178">
        <v>9333</v>
      </c>
    </row>
    <row r="179" spans="1:15" ht="15.75">
      <c r="A179" s="19">
        <v>1600</v>
      </c>
      <c r="B179" t="s">
        <v>56</v>
      </c>
      <c r="C179">
        <v>35</v>
      </c>
      <c r="D179">
        <v>19</v>
      </c>
      <c r="E179">
        <v>0.0168526</v>
      </c>
      <c r="F179">
        <v>145082</v>
      </c>
      <c r="G179" s="8">
        <v>2922610</v>
      </c>
      <c r="H179" s="10">
        <f>D179*F179/G179</f>
        <v>0.9431836611795621</v>
      </c>
      <c r="I179">
        <v>52254</v>
      </c>
      <c r="J179" s="1">
        <f>(I179*D179/H179+O179/N179)/E179/0.46</f>
        <v>136471994.70471036</v>
      </c>
      <c r="K179" s="1">
        <f>J179-49200000*0.82</f>
        <v>96127994.70471036</v>
      </c>
      <c r="L179">
        <v>1658</v>
      </c>
      <c r="M179">
        <v>1842</v>
      </c>
      <c r="N179" s="10">
        <f>L179/M179</f>
        <v>0.9001085776330076</v>
      </c>
      <c r="O179">
        <v>4793</v>
      </c>
    </row>
    <row r="180" spans="1:15" ht="15.75">
      <c r="A180" s="19">
        <v>1604</v>
      </c>
      <c r="B180" t="s">
        <v>56</v>
      </c>
      <c r="C180">
        <v>37</v>
      </c>
      <c r="D180">
        <v>19</v>
      </c>
      <c r="E180">
        <v>0.053553699999999996</v>
      </c>
      <c r="F180">
        <v>464209</v>
      </c>
      <c r="G180" s="8">
        <v>9292770</v>
      </c>
      <c r="H180" s="10">
        <f>D180*F180/G180</f>
        <v>0.9491218441863943</v>
      </c>
      <c r="I180">
        <v>164822</v>
      </c>
      <c r="J180" s="1">
        <f>(I180*D180/H180+O180/N180)/E180/0.46</f>
        <v>134622908.17061204</v>
      </c>
      <c r="K180" s="1">
        <f>J180-49200000*0.82</f>
        <v>94278908.17061204</v>
      </c>
      <c r="L180">
        <v>4842</v>
      </c>
      <c r="M180">
        <v>5398</v>
      </c>
      <c r="N180" s="10">
        <f>L180/M180</f>
        <v>0.8969988884772138</v>
      </c>
      <c r="O180">
        <v>15164</v>
      </c>
    </row>
    <row r="181" spans="1:15" ht="15.75">
      <c r="A181" s="19">
        <v>1607</v>
      </c>
      <c r="B181" t="s">
        <v>56</v>
      </c>
      <c r="C181">
        <v>36</v>
      </c>
      <c r="D181">
        <v>19</v>
      </c>
      <c r="E181">
        <v>0.053545699999999995</v>
      </c>
      <c r="F181">
        <v>463909</v>
      </c>
      <c r="G181" s="8">
        <v>9286380</v>
      </c>
      <c r="H181" s="10">
        <f>D181*F181/G181</f>
        <v>0.9491611370630967</v>
      </c>
      <c r="I181">
        <v>164879</v>
      </c>
      <c r="J181" s="1">
        <f>(I181*D181/H181+O181/N181)/E181/0.46</f>
        <v>134676192.75386152</v>
      </c>
      <c r="K181" s="1">
        <f>J181-49200000*0.82</f>
        <v>94332192.75386152</v>
      </c>
      <c r="L181">
        <v>5031</v>
      </c>
      <c r="M181">
        <v>5548</v>
      </c>
      <c r="N181" s="10">
        <f>L181/M181</f>
        <v>0.9068132660418169</v>
      </c>
      <c r="O181">
        <v>15160</v>
      </c>
    </row>
    <row r="182" spans="1:15" ht="15.75">
      <c r="A182" s="19">
        <v>1609</v>
      </c>
      <c r="B182" t="s">
        <v>56</v>
      </c>
      <c r="C182">
        <v>36</v>
      </c>
      <c r="D182">
        <v>19</v>
      </c>
      <c r="E182">
        <v>0.0535201</v>
      </c>
      <c r="F182">
        <v>463582</v>
      </c>
      <c r="G182" s="8">
        <v>9283030</v>
      </c>
      <c r="H182" s="10">
        <f>D182*F182/G182</f>
        <v>0.9488343784303186</v>
      </c>
      <c r="I182">
        <v>164345</v>
      </c>
      <c r="J182" s="1">
        <f>(I182*D182/H182+O182/N182)/E182/0.46</f>
        <v>134363148.56918284</v>
      </c>
      <c r="K182" s="1">
        <f>J182-49200000*0.82</f>
        <v>94019148.56918284</v>
      </c>
      <c r="L182">
        <v>4929</v>
      </c>
      <c r="M182">
        <v>5470</v>
      </c>
      <c r="N182" s="10">
        <f>L182/M182</f>
        <v>0.9010968921389396</v>
      </c>
      <c r="O182">
        <v>15302</v>
      </c>
    </row>
    <row r="183" spans="10:11" ht="15.75">
      <c r="J183" s="1" t="s">
        <v>58</v>
      </c>
      <c r="K183" s="1">
        <f>SUM(K178:K182)/5</f>
        <v>94749287.5629293</v>
      </c>
    </row>
    <row r="184" ht="15.75">
      <c r="A184" t="s">
        <v>96</v>
      </c>
    </row>
    <row r="185" spans="1:2" ht="15.75">
      <c r="A185" t="s">
        <v>50</v>
      </c>
      <c r="B185" s="9">
        <v>0.406</v>
      </c>
    </row>
    <row r="186" spans="1:15" ht="15.75">
      <c r="A186" t="s">
        <v>27</v>
      </c>
      <c r="B186" t="s">
        <v>28</v>
      </c>
      <c r="C186" t="s">
        <v>1</v>
      </c>
      <c r="D186" t="s">
        <v>29</v>
      </c>
      <c r="E186" t="s">
        <v>30</v>
      </c>
      <c r="F186" t="s">
        <v>31</v>
      </c>
      <c r="G186" t="s">
        <v>32</v>
      </c>
      <c r="H186" t="s">
        <v>33</v>
      </c>
      <c r="I186" t="s">
        <v>34</v>
      </c>
      <c r="J186" s="1" t="s">
        <v>35</v>
      </c>
      <c r="K186" t="s">
        <v>36</v>
      </c>
      <c r="L186" t="s">
        <v>37</v>
      </c>
      <c r="M186" t="s">
        <v>38</v>
      </c>
      <c r="N186" t="s">
        <v>39</v>
      </c>
      <c r="O186" t="s">
        <v>40</v>
      </c>
    </row>
    <row r="187" spans="1:15" ht="15.75">
      <c r="A187" s="19">
        <v>1231</v>
      </c>
      <c r="B187" t="s">
        <v>44</v>
      </c>
      <c r="C187" s="11">
        <v>46.4</v>
      </c>
      <c r="D187">
        <v>10</v>
      </c>
      <c r="E187">
        <v>0.185326</v>
      </c>
      <c r="F187">
        <v>1478017</v>
      </c>
      <c r="G187" s="8">
        <v>15100400</v>
      </c>
      <c r="H187" s="9">
        <f>D187*F187/G187</f>
        <v>0.9787932769992848</v>
      </c>
      <c r="I187">
        <v>355875</v>
      </c>
      <c r="J187" s="1">
        <f>(I187*D187/H187+O187/N187)/E187/0.406</f>
        <v>48735250.70201774</v>
      </c>
      <c r="K187" s="10">
        <f>J187*G5/G2</f>
        <v>48822485.637641884</v>
      </c>
      <c r="L187">
        <v>13779</v>
      </c>
      <c r="M187">
        <v>14775</v>
      </c>
      <c r="N187" s="10">
        <f>L187/M187</f>
        <v>0.9325888324873096</v>
      </c>
      <c r="O187">
        <v>29004</v>
      </c>
    </row>
    <row r="188" spans="1:15" ht="15.75">
      <c r="A188" s="19">
        <v>1232</v>
      </c>
      <c r="B188" t="s">
        <v>47</v>
      </c>
      <c r="C188" s="11">
        <v>47.7</v>
      </c>
      <c r="D188">
        <v>10</v>
      </c>
      <c r="E188">
        <v>0.181354</v>
      </c>
      <c r="F188">
        <v>1132719</v>
      </c>
      <c r="G188" s="8">
        <v>11485900</v>
      </c>
      <c r="H188" s="9">
        <f>D188*F188/G188</f>
        <v>0.986182188596453</v>
      </c>
      <c r="I188">
        <v>929882</v>
      </c>
      <c r="J188" s="1">
        <f>(I188*D188/H188+O188/N188)/E188</f>
        <v>52440136.799429655</v>
      </c>
      <c r="L188">
        <v>13356</v>
      </c>
      <c r="M188" s="8">
        <v>14046</v>
      </c>
      <c r="N188" s="10">
        <f>L188/M188</f>
        <v>0.9508756941478</v>
      </c>
      <c r="O188">
        <v>77134</v>
      </c>
    </row>
    <row r="189" spans="1:14" ht="15.75">
      <c r="A189" s="13" t="s">
        <v>97</v>
      </c>
      <c r="B189" s="13"/>
      <c r="C189" s="13"/>
      <c r="D189" s="13"/>
      <c r="E189" s="13"/>
      <c r="F189" s="13"/>
      <c r="G189" s="13"/>
      <c r="H189" s="9" t="e">
        <f>D189*F189/G189</f>
        <v>#DIV/0!</v>
      </c>
      <c r="J189" s="1" t="e">
        <f>(I189*D189/H189+O189/N189)/E189</f>
        <v>#DIV/0!</v>
      </c>
      <c r="N189" s="10" t="e">
        <f>L189/M189</f>
        <v>#DIV/0!</v>
      </c>
    </row>
    <row r="190" spans="1:14" ht="15.75">
      <c r="A190" s="15" t="s">
        <v>98</v>
      </c>
      <c r="B190" s="15"/>
      <c r="C190" s="15"/>
      <c r="D190" s="15"/>
      <c r="E190" s="15"/>
      <c r="F190" s="15"/>
      <c r="H190" s="9"/>
      <c r="J190" s="1" t="e">
        <f>(I190*D190/H190+O190/N190)/E190</f>
        <v>#DIV/0!</v>
      </c>
      <c r="N190" s="10"/>
    </row>
    <row r="191" spans="1:14" ht="15.75">
      <c r="A191" s="15" t="s">
        <v>50</v>
      </c>
      <c r="B191" s="17">
        <f>0.004*0.005/0.0075/0.007</f>
        <v>0.38095238095238093</v>
      </c>
      <c r="C191" s="15"/>
      <c r="D191" s="15"/>
      <c r="E191" s="15"/>
      <c r="F191" s="15"/>
      <c r="H191" s="9"/>
      <c r="J191" s="1" t="e">
        <f>(I191*D191/H191+O191/N191)/E191</f>
        <v>#DIV/0!</v>
      </c>
      <c r="N191" s="10"/>
    </row>
    <row r="192" spans="1:15" ht="15.75">
      <c r="A192" s="19">
        <v>17319</v>
      </c>
      <c r="B192" t="s">
        <v>44</v>
      </c>
      <c r="C192">
        <v>35.5</v>
      </c>
      <c r="D192">
        <v>19</v>
      </c>
      <c r="E192">
        <v>0.07623039999999999</v>
      </c>
      <c r="F192">
        <v>294561</v>
      </c>
      <c r="G192" s="8">
        <v>5713430</v>
      </c>
      <c r="H192" s="9">
        <f>D192*F192/G192</f>
        <v>0.9795620144116581</v>
      </c>
      <c r="I192">
        <v>76198</v>
      </c>
      <c r="J192" s="1">
        <f>(I192*D192/H192+O192/N192)/E192/0.381</f>
        <v>51331037.8898454</v>
      </c>
      <c r="K192" s="10">
        <f>J192*G5/G2</f>
        <v>51422919.2225838</v>
      </c>
      <c r="L192">
        <v>7694</v>
      </c>
      <c r="M192">
        <v>7984</v>
      </c>
      <c r="N192" s="10">
        <f>L192/M192</f>
        <v>0.9636773547094188</v>
      </c>
      <c r="O192">
        <v>12411</v>
      </c>
    </row>
    <row r="193" spans="1:15" ht="15.75">
      <c r="A193" s="19">
        <v>17329</v>
      </c>
      <c r="B193" t="s">
        <v>44</v>
      </c>
      <c r="C193">
        <v>37.6</v>
      </c>
      <c r="D193">
        <v>8</v>
      </c>
      <c r="E193">
        <v>0.0606086</v>
      </c>
      <c r="F193">
        <v>480856</v>
      </c>
      <c r="G193" s="8">
        <v>4042030</v>
      </c>
      <c r="H193" s="9">
        <f>D193*F193/G193</f>
        <v>0.9517118873437357</v>
      </c>
      <c r="I193">
        <v>138478</v>
      </c>
      <c r="J193" s="1">
        <f>(I193*D193/H193+O193/N193)/E193/0.381</f>
        <v>50851148.33966531</v>
      </c>
      <c r="K193" s="10">
        <f>J193*G5/G2</f>
        <v>50942170.681562096</v>
      </c>
      <c r="L193">
        <v>5453</v>
      </c>
      <c r="M193">
        <v>5984</v>
      </c>
      <c r="N193" s="10">
        <f>L193/M193</f>
        <v>0.9112633689839572</v>
      </c>
      <c r="O193">
        <v>9309</v>
      </c>
    </row>
    <row r="194" spans="1:15" ht="15.75">
      <c r="A194" s="19">
        <v>17339</v>
      </c>
      <c r="B194" t="s">
        <v>44</v>
      </c>
      <c r="C194">
        <v>38.7</v>
      </c>
      <c r="D194">
        <v>8</v>
      </c>
      <c r="E194">
        <v>0.060562899999999996</v>
      </c>
      <c r="F194">
        <v>480482</v>
      </c>
      <c r="G194" s="8">
        <v>4035370</v>
      </c>
      <c r="H194" s="9">
        <f>D194*F194/G194</f>
        <v>0.952541154838342</v>
      </c>
      <c r="I194">
        <v>138455</v>
      </c>
      <c r="J194" s="1">
        <f>(I194*D194/H194+O194/N194)/E194/0.381</f>
        <v>50840293.007522315</v>
      </c>
      <c r="K194" s="10">
        <f>J194*G5/G2</f>
        <v>50931295.91863364</v>
      </c>
      <c r="L194">
        <v>5330</v>
      </c>
      <c r="M194">
        <v>5817</v>
      </c>
      <c r="N194" s="10">
        <f>L194/M194</f>
        <v>0.9162798693484614</v>
      </c>
      <c r="O194">
        <v>9425</v>
      </c>
    </row>
    <row r="195" spans="8:14" ht="15.75">
      <c r="H195" s="9" t="e">
        <f>D195*F195/G195</f>
        <v>#DIV/0!</v>
      </c>
      <c r="J195" s="1" t="e">
        <f>(I195*D195/H195+O195/N195)/E195/0.381</f>
        <v>#DIV/0!</v>
      </c>
      <c r="N195" s="10" t="e">
        <f>L195/M195</f>
        <v>#DIV/0!</v>
      </c>
    </row>
    <row r="196" spans="1:15" ht="15.75">
      <c r="A196" s="20">
        <v>1736</v>
      </c>
      <c r="B196" t="s">
        <v>56</v>
      </c>
      <c r="C196" s="11">
        <v>27</v>
      </c>
      <c r="D196">
        <v>8</v>
      </c>
      <c r="E196">
        <v>0.0160262</v>
      </c>
      <c r="F196">
        <v>280305</v>
      </c>
      <c r="G196" s="8">
        <v>2780180</v>
      </c>
      <c r="H196" s="9">
        <f>D196*F196/G196</f>
        <v>0.8065808688646059</v>
      </c>
      <c r="I196">
        <v>82335</v>
      </c>
      <c r="J196" s="1">
        <f>(I196*D196/H196+O196/N196)/E196/0.381</f>
        <v>134528959.88241893</v>
      </c>
      <c r="K196" s="1">
        <f>J196-50900000*0.82</f>
        <v>92790959.88241893</v>
      </c>
      <c r="L196">
        <v>1695</v>
      </c>
      <c r="M196">
        <v>2192</v>
      </c>
      <c r="N196" s="10">
        <f>L196/M196</f>
        <v>0.7732664233576643</v>
      </c>
      <c r="O196">
        <v>3711</v>
      </c>
    </row>
    <row r="197" spans="1:15" ht="15.75">
      <c r="A197" s="20">
        <v>1737</v>
      </c>
      <c r="B197" t="s">
        <v>56</v>
      </c>
      <c r="C197" s="11">
        <v>39</v>
      </c>
      <c r="D197">
        <v>20</v>
      </c>
      <c r="E197">
        <v>0.061100699999999994</v>
      </c>
      <c r="F197">
        <v>508045</v>
      </c>
      <c r="G197" s="8">
        <v>10625100</v>
      </c>
      <c r="H197" s="9">
        <f>D197*F197/G197</f>
        <v>0.9563109994258877</v>
      </c>
      <c r="I197">
        <v>149017</v>
      </c>
      <c r="J197" s="1">
        <f>(I197*D197/H197+O197/N197)/E197/0.381</f>
        <v>134721493.57997483</v>
      </c>
      <c r="K197" s="1">
        <f>J197-50900000*0.82</f>
        <v>92983493.57997483</v>
      </c>
      <c r="L197">
        <v>5272</v>
      </c>
      <c r="M197">
        <v>5789</v>
      </c>
      <c r="N197" s="10">
        <f>L197/M197</f>
        <v>0.9106926930385213</v>
      </c>
      <c r="O197">
        <v>17972</v>
      </c>
    </row>
    <row r="198" spans="1:15" ht="15.75">
      <c r="A198" s="20">
        <v>1738</v>
      </c>
      <c r="B198" t="s">
        <v>56</v>
      </c>
      <c r="C198" s="11">
        <v>34</v>
      </c>
      <c r="D198">
        <v>20</v>
      </c>
      <c r="E198">
        <v>0.060922699999999996</v>
      </c>
      <c r="F198">
        <v>507472</v>
      </c>
      <c r="G198" s="8">
        <v>10584100</v>
      </c>
      <c r="H198" s="9">
        <f>D198*F198/G198</f>
        <v>0.9589327387307376</v>
      </c>
      <c r="I198">
        <v>148724</v>
      </c>
      <c r="J198" s="1">
        <f>(I198*D198/H198+O198/N198)/E198/0.381</f>
        <v>134459889.96525195</v>
      </c>
      <c r="K198" s="1">
        <f>J198-50900000*0.82</f>
        <v>92721889.96525195</v>
      </c>
      <c r="L198">
        <v>6102</v>
      </c>
      <c r="M198">
        <v>6601</v>
      </c>
      <c r="N198" s="10">
        <f>L198/M198</f>
        <v>0.9244053931222542</v>
      </c>
      <c r="O198">
        <v>17709</v>
      </c>
    </row>
    <row r="199" spans="1:15" ht="15.75">
      <c r="A199" s="20">
        <v>1739</v>
      </c>
      <c r="B199" t="s">
        <v>56</v>
      </c>
      <c r="C199" s="11">
        <v>37</v>
      </c>
      <c r="D199">
        <v>20</v>
      </c>
      <c r="E199">
        <v>0.0610432</v>
      </c>
      <c r="F199">
        <v>507874</v>
      </c>
      <c r="G199" s="8">
        <v>10623000</v>
      </c>
      <c r="H199" s="9">
        <f>D199*F199/G199</f>
        <v>0.9561781041137155</v>
      </c>
      <c r="I199">
        <v>148665</v>
      </c>
      <c r="J199" s="1">
        <f>(I199*D199/H199+O199/N199)/E199/0.381</f>
        <v>134550910.19886687</v>
      </c>
      <c r="K199" s="1">
        <f>J199-50900000*0.82</f>
        <v>92812910.19886687</v>
      </c>
      <c r="L199">
        <v>5519</v>
      </c>
      <c r="M199">
        <v>6074</v>
      </c>
      <c r="N199" s="10">
        <f>L199/M199</f>
        <v>0.9086269344748107</v>
      </c>
      <c r="O199">
        <v>17941</v>
      </c>
    </row>
    <row r="200" spans="1:15" ht="15.75">
      <c r="A200" s="20">
        <v>1740</v>
      </c>
      <c r="B200" t="s">
        <v>56</v>
      </c>
      <c r="C200" s="11">
        <v>39</v>
      </c>
      <c r="D200">
        <v>20</v>
      </c>
      <c r="E200">
        <v>0.061013</v>
      </c>
      <c r="F200">
        <v>507351</v>
      </c>
      <c r="G200" s="8">
        <v>10613200</v>
      </c>
      <c r="H200" s="9">
        <f>D200*F200/G200</f>
        <v>0.9560754532092112</v>
      </c>
      <c r="I200">
        <v>148410</v>
      </c>
      <c r="J200" s="1">
        <f>(I200*D200/H200+O200/N200)/E200/0.381</f>
        <v>134405035.731022</v>
      </c>
      <c r="K200" s="1">
        <f>J200-50900000*0.82</f>
        <v>92667035.731022</v>
      </c>
      <c r="L200">
        <v>5288</v>
      </c>
      <c r="M200">
        <v>5845</v>
      </c>
      <c r="N200" s="10">
        <f>L200/M200</f>
        <v>0.904704875962361</v>
      </c>
      <c r="O200">
        <v>17919</v>
      </c>
    </row>
    <row r="201" spans="1:15" ht="15.75">
      <c r="A201" s="20">
        <v>1741</v>
      </c>
      <c r="B201" t="s">
        <v>56</v>
      </c>
      <c r="C201" s="11">
        <v>39</v>
      </c>
      <c r="D201">
        <v>20</v>
      </c>
      <c r="E201">
        <v>0.0610442</v>
      </c>
      <c r="F201">
        <v>507934</v>
      </c>
      <c r="G201" s="8">
        <v>10623000</v>
      </c>
      <c r="H201" s="9">
        <f>D201*F201/G201</f>
        <v>0.9562910665537042</v>
      </c>
      <c r="I201">
        <v>148400</v>
      </c>
      <c r="J201" s="1">
        <f>(I201*D201/H201+O201/N201)/E201/0.381</f>
        <v>134301584.81798133</v>
      </c>
      <c r="K201" s="1">
        <f>J201-50900000*0.82</f>
        <v>92563584.81798133</v>
      </c>
      <c r="L201">
        <v>5294</v>
      </c>
      <c r="M201">
        <v>5830</v>
      </c>
      <c r="N201" s="10">
        <f>L201/M201</f>
        <v>0.9080617495711836</v>
      </c>
      <c r="O201">
        <v>18077</v>
      </c>
    </row>
    <row r="202" spans="8:14" ht="15.75">
      <c r="H202" s="9"/>
      <c r="J202" s="1" t="s">
        <v>58</v>
      </c>
      <c r="K202" s="1">
        <f>SUM(K196:K201)/6</f>
        <v>92756645.69591932</v>
      </c>
      <c r="N202" s="10"/>
    </row>
    <row r="203" spans="1:14" ht="15.75">
      <c r="A203" t="s">
        <v>99</v>
      </c>
      <c r="H203" s="9"/>
      <c r="J203" s="1" t="e">
        <f>(I203*D203/H203+O203/N203)/E203/0.381</f>
        <v>#DIV/0!</v>
      </c>
      <c r="N203" s="10" t="e">
        <f>L203/M203</f>
        <v>#DIV/0!</v>
      </c>
    </row>
    <row r="204" spans="1:14" ht="15.75">
      <c r="A204" t="s">
        <v>50</v>
      </c>
      <c r="B204" s="9">
        <f>0.006*0.004/0.0075/0.007</f>
        <v>0.4571428571428571</v>
      </c>
      <c r="H204" s="9"/>
      <c r="J204" s="1" t="e">
        <f>(I204*D204/H204+O204/N204)/E204/0.381</f>
        <v>#DIV/0!</v>
      </c>
      <c r="N204" s="10" t="e">
        <f>L204/M204</f>
        <v>#DIV/0!</v>
      </c>
    </row>
    <row r="205" spans="1:15" ht="15.75">
      <c r="A205" s="19">
        <v>1645</v>
      </c>
      <c r="B205" t="s">
        <v>44</v>
      </c>
      <c r="C205">
        <v>31</v>
      </c>
      <c r="D205">
        <v>20</v>
      </c>
      <c r="E205">
        <v>0.0167778</v>
      </c>
      <c r="F205">
        <v>54265</v>
      </c>
      <c r="G205" s="8">
        <v>1095810</v>
      </c>
      <c r="H205" s="9">
        <f>D205*F205/G205</f>
        <v>0.990408921254597</v>
      </c>
      <c r="I205">
        <v>19258</v>
      </c>
      <c r="J205" s="1">
        <f>(I205*D205/H205+O205/N205)/E205/0.457</f>
        <v>51153239.04237798</v>
      </c>
      <c r="K205" s="1">
        <f>J205*G5/G2</f>
        <v>51244802.119422816</v>
      </c>
      <c r="L205">
        <v>1969</v>
      </c>
      <c r="M205">
        <v>2034</v>
      </c>
      <c r="N205" s="10">
        <f>L205/M205</f>
        <v>0.9680432645034415</v>
      </c>
      <c r="O205">
        <v>3219</v>
      </c>
    </row>
    <row r="206" spans="1:15" ht="15.75">
      <c r="A206" s="19">
        <v>1646</v>
      </c>
      <c r="B206" t="s">
        <v>44</v>
      </c>
      <c r="C206">
        <v>36.8</v>
      </c>
      <c r="D206">
        <v>7</v>
      </c>
      <c r="E206">
        <v>0.057675399999999995</v>
      </c>
      <c r="F206">
        <v>514090</v>
      </c>
      <c r="G206" s="8">
        <v>3763710</v>
      </c>
      <c r="H206" s="9">
        <f>D206*F206/G206</f>
        <v>0.9561390224007694</v>
      </c>
      <c r="I206">
        <v>181897</v>
      </c>
      <c r="J206" s="1">
        <f>(I206*D206/H206+O206/N206)/E206/0.457</f>
        <v>50963764.475731604</v>
      </c>
      <c r="K206" s="1">
        <f>J206*G5/G2</f>
        <v>51054988.39782421</v>
      </c>
      <c r="L206">
        <v>5337</v>
      </c>
      <c r="M206">
        <v>5843</v>
      </c>
      <c r="N206" s="10">
        <f>L206/M206</f>
        <v>0.9134006503508472</v>
      </c>
      <c r="O206">
        <v>10593</v>
      </c>
    </row>
    <row r="207" spans="1:15" ht="15.75">
      <c r="A207" s="19">
        <v>1647</v>
      </c>
      <c r="B207" t="s">
        <v>44</v>
      </c>
      <c r="C207">
        <v>36.8</v>
      </c>
      <c r="D207">
        <v>7</v>
      </c>
      <c r="E207">
        <v>0.057697099999999994</v>
      </c>
      <c r="F207">
        <v>514396</v>
      </c>
      <c r="G207" s="8">
        <v>3763630</v>
      </c>
      <c r="H207" s="9">
        <f>D207*F207/G207</f>
        <v>0.9567284775602277</v>
      </c>
      <c r="I207">
        <v>182200</v>
      </c>
      <c r="J207" s="1">
        <f>(I207*D207/H207+O207/N207)/E207/0.457</f>
        <v>50994050.09040334</v>
      </c>
      <c r="K207" s="1">
        <f>J207*G5/G2</f>
        <v>51085328.22302341</v>
      </c>
      <c r="L207">
        <v>5366</v>
      </c>
      <c r="M207">
        <v>5845</v>
      </c>
      <c r="N207" s="10">
        <f>L207/M207</f>
        <v>0.9180496150556031</v>
      </c>
      <c r="O207">
        <v>10562</v>
      </c>
    </row>
    <row r="208" spans="1:15" ht="15.75">
      <c r="A208" s="20">
        <v>1648</v>
      </c>
      <c r="B208" t="s">
        <v>56</v>
      </c>
      <c r="C208" s="11">
        <v>9</v>
      </c>
      <c r="D208">
        <v>19</v>
      </c>
      <c r="E208">
        <v>0.0056979100000000005</v>
      </c>
      <c r="F208">
        <v>51183</v>
      </c>
      <c r="G208" s="8">
        <v>984990</v>
      </c>
      <c r="H208" s="9">
        <f>D208*F208/G208</f>
        <v>0.987296317729114</v>
      </c>
      <c r="I208">
        <v>18242</v>
      </c>
      <c r="J208" s="1">
        <f>(I208*D208/H208+O208/N208)/E208/0.457</f>
        <v>135553157.31052485</v>
      </c>
      <c r="K208" s="1">
        <f>J208-51100000*0.82</f>
        <v>93651157.31052485</v>
      </c>
      <c r="L208">
        <v>2177</v>
      </c>
      <c r="M208">
        <v>2266</v>
      </c>
      <c r="N208" s="10">
        <f>L208/M208</f>
        <v>0.9607237422771403</v>
      </c>
      <c r="O208">
        <v>1840</v>
      </c>
    </row>
    <row r="209" spans="1:15" ht="15.75">
      <c r="A209" s="20">
        <v>1649</v>
      </c>
      <c r="B209" t="s">
        <v>56</v>
      </c>
      <c r="C209" s="11">
        <v>20</v>
      </c>
      <c r="D209">
        <v>19</v>
      </c>
      <c r="E209">
        <v>0.012025899999999999</v>
      </c>
      <c r="F209">
        <v>106543</v>
      </c>
      <c r="G209" s="8">
        <v>2072530</v>
      </c>
      <c r="H209" s="9">
        <f>D209*F209/G209</f>
        <v>0.9767371280512224</v>
      </c>
      <c r="I209">
        <v>37950</v>
      </c>
      <c r="J209" s="1">
        <f>(I209*D209/H209+O209/N209)/E209/0.457</f>
        <v>135123549.35739306</v>
      </c>
      <c r="K209" s="1">
        <f>J209-51100000*0.82</f>
        <v>93221549.35739306</v>
      </c>
      <c r="L209">
        <v>2123</v>
      </c>
      <c r="M209">
        <v>2269</v>
      </c>
      <c r="N209" s="10">
        <f>L209/M209</f>
        <v>0.9356544733362715</v>
      </c>
      <c r="O209">
        <v>4111</v>
      </c>
    </row>
    <row r="210" spans="1:15" ht="15.75">
      <c r="A210" s="20">
        <v>1650</v>
      </c>
      <c r="B210" t="s">
        <v>56</v>
      </c>
      <c r="C210" s="11">
        <v>40</v>
      </c>
      <c r="D210">
        <v>19</v>
      </c>
      <c r="E210">
        <v>0.0567957</v>
      </c>
      <c r="F210">
        <v>491508</v>
      </c>
      <c r="G210" s="8">
        <v>9826820</v>
      </c>
      <c r="H210" s="9">
        <f>D210*F210/G210</f>
        <v>0.9503228918409007</v>
      </c>
      <c r="I210">
        <v>174068</v>
      </c>
      <c r="J210" s="1">
        <f>(I210*D210/H210+O210/N210)/E210/0.457</f>
        <v>135063316.4542221</v>
      </c>
      <c r="K210" s="1">
        <f>J210-51100000*0.82</f>
        <v>93161316.45422211</v>
      </c>
      <c r="L210">
        <v>4713</v>
      </c>
      <c r="M210">
        <v>5253</v>
      </c>
      <c r="N210" s="10">
        <f>L210/M210</f>
        <v>0.8972015990862364</v>
      </c>
      <c r="O210">
        <v>22858</v>
      </c>
    </row>
    <row r="211" spans="1:15" ht="15.75">
      <c r="A211" s="20">
        <v>1683</v>
      </c>
      <c r="B211" t="s">
        <v>56</v>
      </c>
      <c r="C211" s="11">
        <v>37</v>
      </c>
      <c r="D211">
        <v>19</v>
      </c>
      <c r="E211">
        <v>0.056487499999999996</v>
      </c>
      <c r="F211">
        <v>491102</v>
      </c>
      <c r="G211" s="8">
        <v>9787000</v>
      </c>
      <c r="H211" s="9">
        <f>D211*F211/G211</f>
        <v>0.953401246551548</v>
      </c>
      <c r="I211">
        <v>173249</v>
      </c>
      <c r="J211" s="1">
        <f>(I211*D211/H211+O211/N211)/E211/0.457</f>
        <v>134713142.26690733</v>
      </c>
      <c r="K211" s="1">
        <f>J211-51100000*0.82</f>
        <v>92811142.26690733</v>
      </c>
      <c r="L211">
        <v>5124</v>
      </c>
      <c r="M211">
        <v>5682</v>
      </c>
      <c r="N211" s="10">
        <f>L211/M211</f>
        <v>0.9017951425554382</v>
      </c>
      <c r="O211">
        <v>22520</v>
      </c>
    </row>
    <row r="212" spans="1:15" ht="15.75">
      <c r="A212" s="20">
        <v>1684</v>
      </c>
      <c r="B212" t="s">
        <v>56</v>
      </c>
      <c r="C212" s="11">
        <v>35</v>
      </c>
      <c r="D212">
        <v>19</v>
      </c>
      <c r="E212">
        <v>0.0564755</v>
      </c>
      <c r="F212">
        <v>491190</v>
      </c>
      <c r="G212" s="8">
        <v>9795160</v>
      </c>
      <c r="H212" s="9">
        <f>D212*F212/G212</f>
        <v>0.9527776983734824</v>
      </c>
      <c r="I212">
        <v>173859</v>
      </c>
      <c r="J212" s="1">
        <f>(I212*D212/H212+O212/N212)/E212/0.457</f>
        <v>135293948.25782463</v>
      </c>
      <c r="K212" s="1">
        <f>J212-51100000*0.82</f>
        <v>93391948.25782463</v>
      </c>
      <c r="L212">
        <v>5428</v>
      </c>
      <c r="M212">
        <v>5973</v>
      </c>
      <c r="N212" s="10">
        <f>L212/M212</f>
        <v>0.9087560689770634</v>
      </c>
      <c r="O212">
        <v>22537</v>
      </c>
    </row>
    <row r="213" spans="1:15" ht="15.75">
      <c r="A213" s="20">
        <v>1685</v>
      </c>
      <c r="B213" t="s">
        <v>56</v>
      </c>
      <c r="C213" s="11">
        <v>37</v>
      </c>
      <c r="D213">
        <v>19</v>
      </c>
      <c r="E213">
        <v>0.056426899999999995</v>
      </c>
      <c r="F213">
        <v>490590</v>
      </c>
      <c r="G213" s="8">
        <v>9780690</v>
      </c>
      <c r="H213" s="9">
        <f>D213*F213/G213</f>
        <v>0.9530217193265506</v>
      </c>
      <c r="I213">
        <v>173918</v>
      </c>
      <c r="J213" s="1">
        <f>(I213*D213/H213+O213/N213)/E213/0.457</f>
        <v>135431163.97294748</v>
      </c>
      <c r="K213" s="1">
        <f>J213-51100000*0.82</f>
        <v>93529163.97294748</v>
      </c>
      <c r="L213">
        <v>5173</v>
      </c>
      <c r="M213">
        <v>5725</v>
      </c>
      <c r="N213" s="10">
        <f>L213/M213</f>
        <v>0.9035807860262008</v>
      </c>
      <c r="O213">
        <v>22630</v>
      </c>
    </row>
    <row r="214" spans="10:11" ht="15.75">
      <c r="J214" s="1" t="s">
        <v>58</v>
      </c>
      <c r="K214" s="1">
        <f>SUM(K208:K213)/6</f>
        <v>93294379.60330324</v>
      </c>
    </row>
    <row r="215" spans="1:15" ht="15.75">
      <c r="A215" t="s">
        <v>27</v>
      </c>
      <c r="B215" t="s">
        <v>28</v>
      </c>
      <c r="C215" t="s">
        <v>1</v>
      </c>
      <c r="D215" t="s">
        <v>29</v>
      </c>
      <c r="E215" t="s">
        <v>30</v>
      </c>
      <c r="F215" t="s">
        <v>31</v>
      </c>
      <c r="G215" t="s">
        <v>32</v>
      </c>
      <c r="H215" t="s">
        <v>33</v>
      </c>
      <c r="I215" t="s">
        <v>34</v>
      </c>
      <c r="J215" s="1" t="s">
        <v>35</v>
      </c>
      <c r="K215" t="s">
        <v>36</v>
      </c>
      <c r="L215" t="s">
        <v>37</v>
      </c>
      <c r="M215" t="s">
        <v>38</v>
      </c>
      <c r="N215" t="s">
        <v>39</v>
      </c>
      <c r="O215" t="s">
        <v>40</v>
      </c>
    </row>
    <row r="216" ht="15.75">
      <c r="A216" t="s">
        <v>100</v>
      </c>
    </row>
    <row r="217" spans="1:2" ht="15.75">
      <c r="A217" t="s">
        <v>50</v>
      </c>
      <c r="B217" s="9">
        <v>0.381</v>
      </c>
    </row>
    <row r="218" spans="1:4" ht="15.75">
      <c r="A218" s="20">
        <v>1689</v>
      </c>
      <c r="B218" t="s">
        <v>44</v>
      </c>
      <c r="C218" s="11">
        <v>11</v>
      </c>
      <c r="D218">
        <v>7</v>
      </c>
    </row>
    <row r="219" spans="1:15" ht="15.75">
      <c r="A219" s="11">
        <v>1690</v>
      </c>
      <c r="B219" t="s">
        <v>44</v>
      </c>
      <c r="C219" s="11">
        <v>27</v>
      </c>
      <c r="D219">
        <v>7</v>
      </c>
      <c r="E219">
        <v>0.0549852</v>
      </c>
      <c r="F219">
        <v>498987</v>
      </c>
      <c r="G219" s="8">
        <v>3644060</v>
      </c>
      <c r="H219" s="10">
        <f>D219*F219/G219</f>
        <v>0.9585212647431711</v>
      </c>
      <c r="I219">
        <v>144149</v>
      </c>
      <c r="J219" s="1">
        <f>(I219*D219/H219+O219/N219)/E219/0.381</f>
        <v>50256547.62681648</v>
      </c>
      <c r="K219" s="10">
        <f>J219*G5/G2</f>
        <v>50346505.64762821</v>
      </c>
      <c r="L219">
        <v>7202</v>
      </c>
      <c r="M219">
        <v>7692</v>
      </c>
      <c r="N219" s="10">
        <f>L219/M219</f>
        <v>0.9362974518980759</v>
      </c>
      <c r="O219">
        <v>126</v>
      </c>
    </row>
    <row r="220" spans="1:14" ht="15.75">
      <c r="A220" s="11">
        <v>1691</v>
      </c>
      <c r="B220" t="s">
        <v>44</v>
      </c>
      <c r="C220" s="11">
        <v>31</v>
      </c>
      <c r="D220">
        <v>7</v>
      </c>
      <c r="H220" s="10" t="e">
        <f>D220*F220/G220</f>
        <v>#DIV/0!</v>
      </c>
      <c r="J220" s="1" t="e">
        <f>(I220*D220/H220+O220/N220)/E220/0.381</f>
        <v>#DIV/0!</v>
      </c>
      <c r="N220" s="10" t="e">
        <f>L220/M220</f>
        <v>#DIV/0!</v>
      </c>
    </row>
    <row r="221" spans="1:15" ht="15.75">
      <c r="A221" s="20">
        <v>1692</v>
      </c>
      <c r="B221" t="s">
        <v>44</v>
      </c>
      <c r="C221" s="11">
        <v>21</v>
      </c>
      <c r="D221">
        <v>7</v>
      </c>
      <c r="E221">
        <v>0.054098999999999994</v>
      </c>
      <c r="F221">
        <v>492081</v>
      </c>
      <c r="G221" s="8">
        <v>3583400</v>
      </c>
      <c r="H221" s="10">
        <f>D221*F221/G221</f>
        <v>0.9612566277836692</v>
      </c>
      <c r="I221">
        <v>144241</v>
      </c>
      <c r="J221" s="1">
        <f>(I221*D221/H221+O221/N221)/E221/0.381</f>
        <v>50966643.68196586</v>
      </c>
      <c r="K221" s="10">
        <f>J221*G5/G2</f>
        <v>51057872.757768914</v>
      </c>
      <c r="L221">
        <v>9008</v>
      </c>
      <c r="M221">
        <v>9513</v>
      </c>
      <c r="N221" s="10">
        <f>L221/M221</f>
        <v>0.9469147482392516</v>
      </c>
      <c r="O221">
        <v>121</v>
      </c>
    </row>
    <row r="222" spans="1:14" ht="15.75">
      <c r="A222" s="11">
        <v>1693</v>
      </c>
      <c r="B222" t="s">
        <v>44</v>
      </c>
      <c r="C222" s="11">
        <v>16</v>
      </c>
      <c r="D222">
        <v>7</v>
      </c>
      <c r="H222" s="10" t="e">
        <f>D222*F222/G222</f>
        <v>#DIV/0!</v>
      </c>
      <c r="J222" s="1" t="e">
        <f>(I222*D222/H222+O222/N222)/E222/0.381</f>
        <v>#DIV/0!</v>
      </c>
      <c r="N222" s="10" t="e">
        <f>L222/M222</f>
        <v>#DIV/0!</v>
      </c>
    </row>
    <row r="223" spans="1:14" ht="15.75">
      <c r="A223" s="11">
        <v>1694</v>
      </c>
      <c r="B223" t="s">
        <v>44</v>
      </c>
      <c r="C223" s="11">
        <v>15</v>
      </c>
      <c r="D223">
        <v>7</v>
      </c>
      <c r="H223" s="10" t="e">
        <f>D223*F223/G223</f>
        <v>#DIV/0!</v>
      </c>
      <c r="J223" s="1" t="e">
        <f>(I223*D223/H223+O223/N223)/E223/0.381</f>
        <v>#DIV/0!</v>
      </c>
      <c r="N223" s="10" t="e">
        <f>L223/M223</f>
        <v>#DIV/0!</v>
      </c>
    </row>
    <row r="224" spans="1:14" ht="15.75">
      <c r="A224" s="11">
        <v>1695</v>
      </c>
      <c r="B224" t="s">
        <v>44</v>
      </c>
      <c r="C224" s="11">
        <v>9</v>
      </c>
      <c r="D224">
        <v>7</v>
      </c>
      <c r="H224" s="10" t="e">
        <f>D224*F224/G224</f>
        <v>#DIV/0!</v>
      </c>
      <c r="J224" s="1" t="e">
        <f>(I224*D224/H224+O224/N224)/E224/0.381</f>
        <v>#DIV/0!</v>
      </c>
      <c r="N224" s="10" t="e">
        <f>L224/M224</f>
        <v>#DIV/0!</v>
      </c>
    </row>
    <row r="225" spans="1:15" ht="15.75">
      <c r="A225" s="20">
        <v>1696</v>
      </c>
      <c r="B225" t="s">
        <v>44</v>
      </c>
      <c r="C225" s="11">
        <v>17</v>
      </c>
      <c r="D225">
        <v>7</v>
      </c>
      <c r="E225">
        <v>0.0157529</v>
      </c>
      <c r="F225">
        <v>143713</v>
      </c>
      <c r="G225" s="8">
        <v>1040450</v>
      </c>
      <c r="H225" s="10">
        <f>D225*F225/G225</f>
        <v>0.9668806766303042</v>
      </c>
      <c r="I225">
        <v>41635</v>
      </c>
      <c r="J225" s="1">
        <f>(I225*D225/H225+O225/N225)/E225/0.381</f>
        <v>50230590.35964447</v>
      </c>
      <c r="K225" s="1">
        <f>J225*G5/G2</f>
        <v>50320501.91756748</v>
      </c>
      <c r="L225">
        <v>3195</v>
      </c>
      <c r="M225">
        <v>3377</v>
      </c>
      <c r="N225" s="10">
        <f>L225/M225</f>
        <v>0.9461060112525911</v>
      </c>
      <c r="O225">
        <v>46</v>
      </c>
    </row>
    <row r="226" spans="1:15" ht="15.75">
      <c r="A226" s="20">
        <v>1697</v>
      </c>
      <c r="B226" t="s">
        <v>56</v>
      </c>
      <c r="C226" s="11">
        <v>11</v>
      </c>
      <c r="D226">
        <v>7</v>
      </c>
      <c r="E226">
        <v>0.0121578</v>
      </c>
      <c r="F226">
        <v>267456</v>
      </c>
      <c r="G226" s="8">
        <v>2108980</v>
      </c>
      <c r="H226" s="10">
        <f>D226*F226/G226</f>
        <v>0.8877239234132139</v>
      </c>
      <c r="I226">
        <v>79057</v>
      </c>
      <c r="J226" s="1">
        <f>(I226*D226/H226+O226/N226)/E226/0.381</f>
        <v>134610252.71199957</v>
      </c>
      <c r="K226" s="1">
        <f>J226-50600000*0.82</f>
        <v>93118252.71199957</v>
      </c>
      <c r="L226">
        <v>3418</v>
      </c>
      <c r="M226">
        <v>3928</v>
      </c>
      <c r="N226" s="10">
        <f>L226/M226</f>
        <v>0.870162932790224</v>
      </c>
      <c r="O226">
        <v>122</v>
      </c>
    </row>
    <row r="227" spans="1:15" ht="15.75">
      <c r="A227" s="20">
        <v>1698</v>
      </c>
      <c r="B227" t="s">
        <v>56</v>
      </c>
      <c r="C227" s="11">
        <v>19</v>
      </c>
      <c r="D227">
        <v>7</v>
      </c>
      <c r="E227">
        <v>0.00311831</v>
      </c>
      <c r="F227">
        <v>65592</v>
      </c>
      <c r="G227" s="8">
        <v>538441</v>
      </c>
      <c r="H227" s="10">
        <f>D227*F227/G227</f>
        <v>0.8527285255023299</v>
      </c>
      <c r="I227">
        <v>19387</v>
      </c>
      <c r="J227" s="1">
        <f>(I227*D227/H227+O227/N227)/E227/0.381</f>
        <v>133990639.5934239</v>
      </c>
      <c r="K227" s="1">
        <f>J227-50600000*0.82</f>
        <v>92498639.5934239</v>
      </c>
      <c r="L227">
        <v>492</v>
      </c>
      <c r="M227">
        <v>641</v>
      </c>
      <c r="N227" s="10">
        <f>L227/M227</f>
        <v>0.7675507020280812</v>
      </c>
      <c r="O227">
        <v>34</v>
      </c>
    </row>
    <row r="228" spans="1:15" ht="15.75">
      <c r="A228" s="20">
        <v>1699</v>
      </c>
      <c r="B228" t="s">
        <v>56</v>
      </c>
      <c r="C228" s="11">
        <v>24</v>
      </c>
      <c r="D228">
        <v>20</v>
      </c>
      <c r="E228">
        <v>0.0144391</v>
      </c>
      <c r="F228">
        <v>118631</v>
      </c>
      <c r="G228" s="8">
        <v>2507660</v>
      </c>
      <c r="H228" s="10">
        <f>D228*F228/G228</f>
        <v>0.9461489994656372</v>
      </c>
      <c r="I228">
        <v>34753</v>
      </c>
      <c r="J228" s="1">
        <f>(I228*D228/H228+O228/N228)/E228/0.381</f>
        <v>133594183.32258412</v>
      </c>
      <c r="K228" s="1">
        <f>J228-50600000*0.82</f>
        <v>92102183.32258412</v>
      </c>
      <c r="L228">
        <v>2085</v>
      </c>
      <c r="M228">
        <v>2263</v>
      </c>
      <c r="N228" s="10">
        <f>L228/M228</f>
        <v>0.9213433495360142</v>
      </c>
      <c r="O228">
        <v>296</v>
      </c>
    </row>
    <row r="229" spans="1:15" ht="15.75">
      <c r="A229" s="20">
        <v>1714</v>
      </c>
      <c r="B229" t="s">
        <v>56</v>
      </c>
      <c r="C229" s="11">
        <v>37</v>
      </c>
      <c r="D229">
        <v>20</v>
      </c>
      <c r="E229">
        <v>0.051019499999999995</v>
      </c>
      <c r="F229">
        <v>415990</v>
      </c>
      <c r="G229" s="8">
        <v>8827030</v>
      </c>
      <c r="H229" s="10">
        <f>D229*F229/G229</f>
        <v>0.9425367309276167</v>
      </c>
      <c r="I229">
        <v>121929</v>
      </c>
      <c r="J229" s="1">
        <f>(I229*D229/H229+O229/N229)/E229/0.381</f>
        <v>133161579.49675903</v>
      </c>
      <c r="K229" s="1">
        <f>J229-50600000*0.82</f>
        <v>91669579.49675903</v>
      </c>
      <c r="L229">
        <v>4675</v>
      </c>
      <c r="M229">
        <v>5209</v>
      </c>
      <c r="N229" s="10">
        <f>L229/M229</f>
        <v>0.8974851219043962</v>
      </c>
      <c r="O229">
        <v>1077</v>
      </c>
    </row>
    <row r="230" spans="1:15" ht="15.75">
      <c r="A230" s="20">
        <v>1715</v>
      </c>
      <c r="B230" t="s">
        <v>56</v>
      </c>
      <c r="C230" s="11">
        <v>31</v>
      </c>
      <c r="D230">
        <v>20</v>
      </c>
      <c r="E230">
        <v>0.050710000000000005</v>
      </c>
      <c r="F230">
        <v>415189</v>
      </c>
      <c r="G230" s="8">
        <v>8786330</v>
      </c>
      <c r="H230" s="10">
        <f>D230*F230/G230</f>
        <v>0.945079458659076</v>
      </c>
      <c r="I230">
        <v>121572</v>
      </c>
      <c r="J230" s="1">
        <f>(I230*D230/H230+O230/N230)/E230/0.381</f>
        <v>133217223.55917536</v>
      </c>
      <c r="K230" s="1">
        <f>J230-50600000*0.82</f>
        <v>91725223.55917536</v>
      </c>
      <c r="L230">
        <v>5655</v>
      </c>
      <c r="M230">
        <v>6181</v>
      </c>
      <c r="N230" s="10">
        <f>L230/M230</f>
        <v>0.9149005015369681</v>
      </c>
      <c r="O230">
        <v>996</v>
      </c>
    </row>
    <row r="231" spans="1:15" ht="15.75">
      <c r="A231" s="20">
        <v>1716</v>
      </c>
      <c r="B231" t="s">
        <v>56</v>
      </c>
      <c r="C231" s="11">
        <v>17</v>
      </c>
      <c r="D231">
        <v>20</v>
      </c>
      <c r="E231">
        <v>0.0103606</v>
      </c>
      <c r="F231">
        <v>87008</v>
      </c>
      <c r="G231" s="8">
        <v>1791300</v>
      </c>
      <c r="H231" s="10">
        <f>D231*F231/G231</f>
        <v>0.9714509015798583</v>
      </c>
      <c r="I231">
        <v>25451</v>
      </c>
      <c r="J231" s="1">
        <f>(I231*D231/H231+O231/N231)/E231/0.381</f>
        <v>132773971.3005768</v>
      </c>
      <c r="K231" s="1">
        <f>J231-50600000*0.82</f>
        <v>91281971.3005768</v>
      </c>
      <c r="L231">
        <v>2098</v>
      </c>
      <c r="M231">
        <v>2222</v>
      </c>
      <c r="N231" s="10">
        <f>L231/M231</f>
        <v>0.9441944194419442</v>
      </c>
      <c r="O231">
        <v>124</v>
      </c>
    </row>
    <row r="232" spans="1:14" ht="15.75">
      <c r="A232" s="11"/>
      <c r="C232" s="11"/>
      <c r="G232" s="8"/>
      <c r="H232" s="10"/>
      <c r="J232" s="1" t="s">
        <v>58</v>
      </c>
      <c r="K232" s="10">
        <f>SUM(K226:K231)/6</f>
        <v>92065974.99741979</v>
      </c>
      <c r="N232" s="10"/>
    </row>
    <row r="234" spans="1:15" ht="15.75">
      <c r="A234" t="s">
        <v>27</v>
      </c>
      <c r="B234" t="s">
        <v>28</v>
      </c>
      <c r="C234" t="s">
        <v>1</v>
      </c>
      <c r="D234" t="s">
        <v>29</v>
      </c>
      <c r="E234" t="s">
        <v>30</v>
      </c>
      <c r="F234" t="s">
        <v>31</v>
      </c>
      <c r="G234" t="s">
        <v>32</v>
      </c>
      <c r="H234" t="s">
        <v>33</v>
      </c>
      <c r="I234" t="s">
        <v>34</v>
      </c>
      <c r="J234" s="1" t="s">
        <v>35</v>
      </c>
      <c r="K234" t="s">
        <v>36</v>
      </c>
      <c r="L234" t="s">
        <v>37</v>
      </c>
      <c r="M234" t="s">
        <v>38</v>
      </c>
      <c r="N234" t="s">
        <v>39</v>
      </c>
      <c r="O234" t="s">
        <v>40</v>
      </c>
    </row>
    <row r="235" ht="15.75">
      <c r="A235" t="s">
        <v>101</v>
      </c>
    </row>
    <row r="236" spans="1:10" ht="15.75">
      <c r="A236" t="s">
        <v>50</v>
      </c>
      <c r="B236" s="9">
        <f>0.005*0.004/0.0075/0.0065</f>
        <v>0.4102564102564102</v>
      </c>
      <c r="J236" s="1" t="e">
        <f>(I236*D236/H236+O236/N236)/E236/0.381</f>
        <v>#DIV/0!</v>
      </c>
    </row>
    <row r="237" spans="1:15" ht="15.75">
      <c r="A237" s="20">
        <v>1773</v>
      </c>
      <c r="B237" t="s">
        <v>44</v>
      </c>
      <c r="C237" s="11">
        <v>14</v>
      </c>
      <c r="D237">
        <v>5</v>
      </c>
      <c r="E237">
        <v>0.019833399999999998</v>
      </c>
      <c r="F237">
        <v>304228</v>
      </c>
      <c r="G237" s="8">
        <v>1554490</v>
      </c>
      <c r="H237" s="10">
        <f>D237*F237/G237</f>
        <v>0.9785460183082555</v>
      </c>
      <c r="I237">
        <v>82135</v>
      </c>
      <c r="J237" s="1">
        <f>(I237*D237/H237+O237/N237)/E237/0.41</f>
        <v>51612068.960952535</v>
      </c>
      <c r="K237" s="10">
        <f>J237*G5/G2</f>
        <v>51704453.33260103</v>
      </c>
      <c r="L237">
        <v>4887</v>
      </c>
      <c r="M237">
        <v>5156</v>
      </c>
      <c r="N237" s="10">
        <f>L237/M237</f>
        <v>0.9478277734678044</v>
      </c>
      <c r="O237">
        <v>14</v>
      </c>
    </row>
    <row r="238" spans="1:10" ht="15.75">
      <c r="A238" s="11">
        <v>1774</v>
      </c>
      <c r="B238" t="s">
        <v>44</v>
      </c>
      <c r="C238" s="11">
        <v>15</v>
      </c>
      <c r="G238" s="8"/>
      <c r="J238" s="1" t="e">
        <f>(I238*D238/H238+O238/N238)/E238/0.381</f>
        <v>#DIV/0!</v>
      </c>
    </row>
    <row r="239" spans="1:14" ht="15.75">
      <c r="A239" s="11">
        <v>1775</v>
      </c>
      <c r="B239" t="s">
        <v>44</v>
      </c>
      <c r="C239" s="11">
        <v>11</v>
      </c>
      <c r="J239" s="1" t="e">
        <f>(I239*D239/H239+O239/N239)/E239/0.381</f>
        <v>#DIV/0!</v>
      </c>
      <c r="N239" s="10" t="e">
        <f>L239/M239</f>
        <v>#DIV/0!</v>
      </c>
    </row>
    <row r="240" spans="1:14" ht="15.75">
      <c r="A240" s="11">
        <v>1776</v>
      </c>
      <c r="B240" t="s">
        <v>44</v>
      </c>
      <c r="C240" s="11">
        <v>13</v>
      </c>
      <c r="J240" s="1" t="e">
        <f>(I240*D240/H240+O240/N240)/E240/0.381</f>
        <v>#DIV/0!</v>
      </c>
      <c r="N240" s="10" t="e">
        <f>L240/M240</f>
        <v>#DIV/0!</v>
      </c>
    </row>
    <row r="241" spans="1:15" ht="15.75">
      <c r="A241" s="20">
        <v>1777</v>
      </c>
      <c r="B241" t="s">
        <v>44</v>
      </c>
      <c r="C241" s="11">
        <v>13</v>
      </c>
      <c r="D241">
        <v>5</v>
      </c>
      <c r="E241">
        <v>0.043813399999999995</v>
      </c>
      <c r="F241">
        <v>663895</v>
      </c>
      <c r="G241" s="8">
        <v>3371700</v>
      </c>
      <c r="H241" s="10">
        <f>D241*F241/G241</f>
        <v>0.9845107809117063</v>
      </c>
      <c r="I241">
        <v>182539</v>
      </c>
      <c r="J241" s="1">
        <f>(I241*D241/H241+O241/N241)/E241/0.41</f>
        <v>51609659.52269619</v>
      </c>
      <c r="K241" s="10">
        <f>J241*G5/G2</f>
        <v>51702039.581507705</v>
      </c>
      <c r="L241">
        <v>11750</v>
      </c>
      <c r="M241">
        <v>12255</v>
      </c>
      <c r="N241" s="10">
        <f>L241/M241</f>
        <v>0.9587923296613627</v>
      </c>
      <c r="O241">
        <v>34</v>
      </c>
    </row>
    <row r="242" spans="1:14" ht="15.75">
      <c r="A242" s="11">
        <v>1778</v>
      </c>
      <c r="B242" t="s">
        <v>44</v>
      </c>
      <c r="C242" s="11">
        <v>11</v>
      </c>
      <c r="J242" s="1" t="e">
        <f>(I242*D242/H242+O242/N242)/E242/0.381</f>
        <v>#DIV/0!</v>
      </c>
      <c r="N242" s="10" t="e">
        <f>L242/M242</f>
        <v>#DIV/0!</v>
      </c>
    </row>
    <row r="243" spans="1:14" ht="15.75">
      <c r="A243" s="11">
        <v>1779</v>
      </c>
      <c r="B243" t="s">
        <v>44</v>
      </c>
      <c r="C243" s="11">
        <v>3</v>
      </c>
      <c r="J243" s="1" t="e">
        <f>(I243*D243/H243+O243/N243)/E243/0.381</f>
        <v>#DIV/0!</v>
      </c>
      <c r="N243" s="10" t="e">
        <f>L243/M243</f>
        <v>#DIV/0!</v>
      </c>
    </row>
    <row r="244" spans="1:14" ht="15.75">
      <c r="A244" s="11">
        <v>1780</v>
      </c>
      <c r="B244" t="s">
        <v>44</v>
      </c>
      <c r="C244" s="11">
        <v>8</v>
      </c>
      <c r="J244" s="1" t="e">
        <f>(I244*D244/H244+O244/N244)/E244/0.381</f>
        <v>#DIV/0!</v>
      </c>
      <c r="N244" s="10" t="e">
        <f>L244/M244</f>
        <v>#DIV/0!</v>
      </c>
    </row>
    <row r="245" spans="1:14" ht="15.75">
      <c r="A245" s="11">
        <v>1781</v>
      </c>
      <c r="B245" t="s">
        <v>44</v>
      </c>
      <c r="C245" s="11">
        <v>26</v>
      </c>
      <c r="J245" s="1" t="e">
        <f>(I245*D245/H245+O245/N245)/E245/0.381</f>
        <v>#DIV/0!</v>
      </c>
      <c r="N245" s="10" t="e">
        <f>L245/M245</f>
        <v>#DIV/0!</v>
      </c>
    </row>
    <row r="246" spans="1:15" ht="15.75">
      <c r="A246" s="20">
        <v>1782</v>
      </c>
      <c r="B246" t="s">
        <v>44</v>
      </c>
      <c r="C246" s="11">
        <v>28</v>
      </c>
      <c r="D246">
        <v>5</v>
      </c>
      <c r="E246">
        <v>0.0402221</v>
      </c>
      <c r="F246">
        <v>620373</v>
      </c>
      <c r="G246" s="8">
        <v>3280640</v>
      </c>
      <c r="H246" s="10">
        <f>D246*F246/G246</f>
        <v>0.9455060597932111</v>
      </c>
      <c r="I246">
        <v>165141</v>
      </c>
      <c r="J246" s="1">
        <f>(I246*D246/H246+O246/N246)/E246/0.41</f>
        <v>52958640.16806915</v>
      </c>
      <c r="K246" s="1">
        <f>J246*G5/G2</f>
        <v>53053434.87004064</v>
      </c>
      <c r="L246">
        <v>4883</v>
      </c>
      <c r="M246">
        <v>5417</v>
      </c>
      <c r="N246" s="10">
        <f>L246/M246</f>
        <v>0.9014214509876315</v>
      </c>
      <c r="O246">
        <v>45</v>
      </c>
    </row>
    <row r="247" spans="1:15" ht="15.75">
      <c r="A247" s="20">
        <v>1798</v>
      </c>
      <c r="B247" t="s">
        <v>56</v>
      </c>
      <c r="C247" s="11">
        <v>38</v>
      </c>
      <c r="D247">
        <v>10</v>
      </c>
      <c r="E247">
        <v>0.031904999999999996</v>
      </c>
      <c r="F247">
        <v>527475</v>
      </c>
      <c r="G247" s="8">
        <v>5728040</v>
      </c>
      <c r="H247" s="10">
        <f>D247*F247/G247</f>
        <v>0.920864728598264</v>
      </c>
      <c r="I247">
        <v>165613</v>
      </c>
      <c r="J247" s="1">
        <f>(I247*D247/H247+O247/N247)/E247/0.41</f>
        <v>137521683.80594307</v>
      </c>
      <c r="K247" s="1">
        <f>J247-52100000*0.82</f>
        <v>94799683.80594307</v>
      </c>
      <c r="L247">
        <v>2675</v>
      </c>
      <c r="M247">
        <v>3167</v>
      </c>
      <c r="N247" s="10">
        <f>L247/M247</f>
        <v>0.844647931796653</v>
      </c>
      <c r="O247">
        <v>403</v>
      </c>
    </row>
    <row r="248" spans="1:15" ht="15.75">
      <c r="A248" s="20">
        <v>1799</v>
      </c>
      <c r="B248" t="s">
        <v>56</v>
      </c>
      <c r="C248" s="11">
        <v>36</v>
      </c>
      <c r="D248">
        <v>10</v>
      </c>
      <c r="E248">
        <v>0.031841</v>
      </c>
      <c r="F248">
        <v>527056</v>
      </c>
      <c r="G248" s="8">
        <v>5720040</v>
      </c>
      <c r="H248" s="10">
        <f>D248*F248/G248</f>
        <v>0.9214201299291613</v>
      </c>
      <c r="I248">
        <v>165160</v>
      </c>
      <c r="J248" s="1">
        <f>(I248*D248/H248+O248/N248)/E248/0.41</f>
        <v>137343147.27098942</v>
      </c>
      <c r="K248" s="1">
        <f>J248-52100000*0.82</f>
        <v>94621147.27098942</v>
      </c>
      <c r="L248">
        <v>2766</v>
      </c>
      <c r="M248">
        <v>3286</v>
      </c>
      <c r="N248" s="10">
        <f>L248/M248</f>
        <v>0.8417528910529519</v>
      </c>
      <c r="O248">
        <v>453</v>
      </c>
    </row>
    <row r="249" spans="1:15" ht="15.75">
      <c r="A249" s="20">
        <v>1800</v>
      </c>
      <c r="B249" t="s">
        <v>56</v>
      </c>
      <c r="C249" s="11">
        <v>37</v>
      </c>
      <c r="D249">
        <v>10</v>
      </c>
      <c r="E249">
        <v>0.0196823</v>
      </c>
      <c r="F249">
        <v>330401</v>
      </c>
      <c r="G249" s="8">
        <v>3538720</v>
      </c>
      <c r="H249" s="10">
        <f>D249*F249/G249</f>
        <v>0.9336737577429127</v>
      </c>
      <c r="I249">
        <v>103601</v>
      </c>
      <c r="J249" s="1">
        <f>(I249*D249/H249+O249/N249)/E249/0.41</f>
        <v>137542194.6258774</v>
      </c>
      <c r="K249" s="1">
        <f>J249-52100000*0.82</f>
        <v>94820194.62587741</v>
      </c>
      <c r="L249">
        <v>1709</v>
      </c>
      <c r="M249">
        <v>2000</v>
      </c>
      <c r="N249" s="10">
        <f>L249/M249</f>
        <v>0.8545</v>
      </c>
      <c r="O249">
        <v>277</v>
      </c>
    </row>
    <row r="250" spans="1:15" ht="15.75">
      <c r="A250" s="20">
        <v>1801</v>
      </c>
      <c r="B250" t="s">
        <v>56</v>
      </c>
      <c r="C250" s="11">
        <v>29</v>
      </c>
      <c r="D250">
        <v>20</v>
      </c>
      <c r="E250">
        <v>0.058771899999999995</v>
      </c>
      <c r="F250">
        <v>511800</v>
      </c>
      <c r="G250" s="8">
        <v>10665600</v>
      </c>
      <c r="H250" s="10">
        <f>D250*F250/G250</f>
        <v>0.9597209720972097</v>
      </c>
      <c r="I250">
        <v>159698</v>
      </c>
      <c r="J250" s="1">
        <f>(I250*D250/H250+O250/N250)/E250/0.41</f>
        <v>138151178.20488125</v>
      </c>
      <c r="K250" s="1">
        <f>J250-52100000*0.82</f>
        <v>95429178.20488125</v>
      </c>
      <c r="L250">
        <v>7037</v>
      </c>
      <c r="M250">
        <v>7555</v>
      </c>
      <c r="N250" s="10">
        <f>L250/M250</f>
        <v>0.9314361350099272</v>
      </c>
      <c r="O250">
        <v>883</v>
      </c>
    </row>
    <row r="251" spans="1:15" ht="15.75">
      <c r="A251" s="20">
        <v>1802</v>
      </c>
      <c r="B251" t="s">
        <v>56</v>
      </c>
      <c r="C251" s="11">
        <v>21</v>
      </c>
      <c r="D251">
        <v>20</v>
      </c>
      <c r="E251">
        <v>0.0536593</v>
      </c>
      <c r="F251">
        <v>486673</v>
      </c>
      <c r="G251" s="8">
        <v>10254200</v>
      </c>
      <c r="H251" s="10">
        <f>D251*F251/G251</f>
        <v>0.9492169062432955</v>
      </c>
      <c r="I251">
        <v>147954</v>
      </c>
      <c r="J251" s="1">
        <f>(I251*D251/H251+O251/N251)/E251/0.41</f>
        <v>141741581.8918594</v>
      </c>
      <c r="K251" s="1">
        <f>J251-52100000*0.82</f>
        <v>99019581.89185941</v>
      </c>
      <c r="L251">
        <v>9139</v>
      </c>
      <c r="M251">
        <v>9662</v>
      </c>
      <c r="N251" s="10">
        <f>L251/M251</f>
        <v>0.9458704202028565</v>
      </c>
      <c r="O251">
        <v>916</v>
      </c>
    </row>
    <row r="252" spans="1:15" ht="15.75">
      <c r="A252" s="20">
        <v>1803</v>
      </c>
      <c r="B252" t="s">
        <v>56</v>
      </c>
      <c r="C252" s="11">
        <v>36</v>
      </c>
      <c r="D252">
        <v>20</v>
      </c>
      <c r="E252">
        <v>0.0584118</v>
      </c>
      <c r="F252">
        <v>510861</v>
      </c>
      <c r="G252" s="8">
        <v>10674300</v>
      </c>
      <c r="H252" s="10">
        <f>D252*F252/G252</f>
        <v>0.957179393496529</v>
      </c>
      <c r="I252">
        <v>158914</v>
      </c>
      <c r="J252" s="1">
        <f>(I252*D252/H252+O252/N252)/E252/0.41</f>
        <v>138688827.02478582</v>
      </c>
      <c r="K252" s="1">
        <f>J252-52100000*0.82</f>
        <v>95966827.02478582</v>
      </c>
      <c r="L252">
        <v>5503</v>
      </c>
      <c r="M252">
        <v>6003</v>
      </c>
      <c r="N252" s="10">
        <f>L252/M252</f>
        <v>0.9167083125104115</v>
      </c>
      <c r="O252">
        <v>891</v>
      </c>
    </row>
    <row r="253" spans="1:15" ht="15.75">
      <c r="A253" s="20">
        <v>1804</v>
      </c>
      <c r="B253" t="s">
        <v>56</v>
      </c>
      <c r="C253" s="11">
        <v>25</v>
      </c>
      <c r="D253">
        <v>20</v>
      </c>
      <c r="E253">
        <v>0.059026699999999994</v>
      </c>
      <c r="F253">
        <v>514902</v>
      </c>
      <c r="G253" s="8">
        <v>10642800</v>
      </c>
      <c r="H253" s="10">
        <f>D253*F253/G253</f>
        <v>0.9676062690269478</v>
      </c>
      <c r="I253">
        <v>160971</v>
      </c>
      <c r="J253" s="1">
        <f>(I253*D253/H253+O253/N253)/E253/0.41</f>
        <v>137517224.51078233</v>
      </c>
      <c r="K253" s="1">
        <f>J253-52100000*0.82</f>
        <v>94795224.51078233</v>
      </c>
      <c r="L253">
        <v>8287</v>
      </c>
      <c r="M253">
        <v>8803</v>
      </c>
      <c r="N253" s="10">
        <f>L253/M253</f>
        <v>0.9413836192207202</v>
      </c>
      <c r="O253">
        <v>797</v>
      </c>
    </row>
    <row r="254" spans="1:15" ht="15.75">
      <c r="A254" s="20">
        <v>1805</v>
      </c>
      <c r="B254" t="s">
        <v>56</v>
      </c>
      <c r="C254" s="11">
        <v>28</v>
      </c>
      <c r="D254">
        <v>20</v>
      </c>
      <c r="E254">
        <v>0.0592694</v>
      </c>
      <c r="F254">
        <v>516162</v>
      </c>
      <c r="G254" s="8">
        <v>10666600</v>
      </c>
      <c r="H254" s="10">
        <f>D254*F254/G254</f>
        <v>0.9678097988112425</v>
      </c>
      <c r="I254">
        <v>161156</v>
      </c>
      <c r="J254" s="1">
        <f>(I254*D254/H254+O254/N254)/E254/0.41</f>
        <v>137080839.55154786</v>
      </c>
      <c r="K254" s="1">
        <f>J254-52100000*0.82</f>
        <v>94358839.55154786</v>
      </c>
      <c r="L254">
        <v>7415</v>
      </c>
      <c r="M254">
        <v>7980</v>
      </c>
      <c r="N254" s="10">
        <f>L254/M254</f>
        <v>0.9291979949874687</v>
      </c>
      <c r="O254">
        <v>746</v>
      </c>
    </row>
    <row r="255" spans="1:15" ht="15.75">
      <c r="A255" s="20">
        <v>1806</v>
      </c>
      <c r="B255" t="s">
        <v>56</v>
      </c>
      <c r="C255" s="11">
        <v>23</v>
      </c>
      <c r="D255">
        <v>20</v>
      </c>
      <c r="E255">
        <v>0.040914</v>
      </c>
      <c r="F255">
        <v>355483</v>
      </c>
      <c r="G255" s="8">
        <v>7332140</v>
      </c>
      <c r="H255" s="10">
        <f>D255*F255/G255</f>
        <v>0.9696568805287406</v>
      </c>
      <c r="I255">
        <v>111409</v>
      </c>
      <c r="J255" s="1">
        <f>(I255*D255/H255+O255/N255)/E255/0.41</f>
        <v>137017827.7838915</v>
      </c>
      <c r="K255" s="1">
        <f>J255-52100000*0.82</f>
        <v>94295827.7838915</v>
      </c>
      <c r="L255">
        <v>6245</v>
      </c>
      <c r="M255">
        <v>6602</v>
      </c>
      <c r="N255" s="10">
        <f>L255/M255</f>
        <v>0.945925477128143</v>
      </c>
      <c r="O255">
        <v>504</v>
      </c>
    </row>
    <row r="256" spans="10:11" ht="15.75">
      <c r="J256" s="1" t="s">
        <v>58</v>
      </c>
      <c r="K256" s="1">
        <f>SUM(K247:K255)/9</f>
        <v>95345167.18561755</v>
      </c>
    </row>
    <row r="257" spans="1:15" ht="15.75">
      <c r="A257" t="s">
        <v>27</v>
      </c>
      <c r="B257" t="s">
        <v>28</v>
      </c>
      <c r="C257" t="s">
        <v>1</v>
      </c>
      <c r="D257" t="s">
        <v>29</v>
      </c>
      <c r="E257" t="s">
        <v>30</v>
      </c>
      <c r="F257" t="s">
        <v>31</v>
      </c>
      <c r="G257" t="s">
        <v>32</v>
      </c>
      <c r="H257" t="s">
        <v>33</v>
      </c>
      <c r="I257" t="s">
        <v>34</v>
      </c>
      <c r="J257" s="1" t="s">
        <v>35</v>
      </c>
      <c r="K257" t="s">
        <v>36</v>
      </c>
      <c r="L257" t="s">
        <v>37</v>
      </c>
      <c r="M257" t="s">
        <v>38</v>
      </c>
      <c r="N257" t="s">
        <v>39</v>
      </c>
      <c r="O257" t="s">
        <v>40</v>
      </c>
    </row>
    <row r="258" ht="15.75">
      <c r="A258" t="s">
        <v>102</v>
      </c>
    </row>
    <row r="259" spans="1:2" ht="15.75">
      <c r="A259" t="s">
        <v>50</v>
      </c>
      <c r="B259" s="9">
        <f>0.006*0.0035/0.0085/0.0056</f>
        <v>0.4411764705882353</v>
      </c>
    </row>
    <row r="260" spans="1:15" ht="15.75">
      <c r="A260" s="20">
        <v>1859</v>
      </c>
      <c r="B260" t="s">
        <v>56</v>
      </c>
      <c r="C260" s="11">
        <v>38</v>
      </c>
      <c r="D260">
        <v>20</v>
      </c>
      <c r="E260">
        <v>0.0492349</v>
      </c>
      <c r="F260">
        <v>446632</v>
      </c>
      <c r="G260" s="8">
        <v>9508790</v>
      </c>
      <c r="H260" s="10">
        <f>D260*F260/G260</f>
        <v>0.9394086944816322</v>
      </c>
      <c r="I260">
        <v>140013</v>
      </c>
      <c r="J260" s="1">
        <f>(I260*D260/H260+O260/N260)/E260/0.441</f>
        <v>138383429.46848577</v>
      </c>
      <c r="K260" s="1">
        <f>J260-52100000*0.82</f>
        <v>95661429.46848577</v>
      </c>
      <c r="L260">
        <v>4230</v>
      </c>
      <c r="M260">
        <v>4784</v>
      </c>
      <c r="N260" s="10">
        <f>L260/M260</f>
        <v>0.8841973244147158</v>
      </c>
      <c r="O260">
        <v>21033</v>
      </c>
    </row>
    <row r="261" spans="1:15" ht="15.75">
      <c r="A261" s="20">
        <v>1860</v>
      </c>
      <c r="B261" t="s">
        <v>56</v>
      </c>
      <c r="C261" s="11">
        <v>37</v>
      </c>
      <c r="D261">
        <v>20</v>
      </c>
      <c r="E261">
        <v>0.054368599999999996</v>
      </c>
      <c r="F261">
        <v>502051</v>
      </c>
      <c r="G261" s="8">
        <v>10568700</v>
      </c>
      <c r="H261" s="10">
        <f>D261*F261/G261</f>
        <v>0.9500714373574801</v>
      </c>
      <c r="I261">
        <v>157126</v>
      </c>
      <c r="J261" s="1">
        <f>(I261*D261/H261+O261/N261)/E261/0.441</f>
        <v>139057799.02062818</v>
      </c>
      <c r="K261" s="1">
        <f>J261-52100000*0.82</f>
        <v>96335799.02062818</v>
      </c>
      <c r="L261">
        <v>4862</v>
      </c>
      <c r="M261">
        <v>5424</v>
      </c>
      <c r="N261" s="10">
        <f>L261/M261</f>
        <v>0.8963864306784661</v>
      </c>
      <c r="O261">
        <v>23718</v>
      </c>
    </row>
    <row r="262" spans="1:15" ht="15.75">
      <c r="A262" s="20">
        <v>1861</v>
      </c>
      <c r="B262" t="s">
        <v>56</v>
      </c>
      <c r="C262" s="11">
        <v>38</v>
      </c>
      <c r="D262">
        <v>20</v>
      </c>
      <c r="E262">
        <v>0.0534553</v>
      </c>
      <c r="F262">
        <v>496880</v>
      </c>
      <c r="G262" s="8">
        <v>10473000</v>
      </c>
      <c r="H262" s="10">
        <f>D262*F262/G262</f>
        <v>0.948878067411439</v>
      </c>
      <c r="I262">
        <v>154431</v>
      </c>
      <c r="J262" s="1">
        <f>(I262*D262/H262+O262/N262)/E262/0.441</f>
        <v>139194692.15649134</v>
      </c>
      <c r="K262" s="1">
        <f>J262-52100000*0.82</f>
        <v>96472692.15649134</v>
      </c>
      <c r="L262">
        <v>4774</v>
      </c>
      <c r="M262">
        <v>5312</v>
      </c>
      <c r="N262" s="10">
        <f>L262/M262</f>
        <v>0.8987198795180723</v>
      </c>
      <c r="O262">
        <v>23657</v>
      </c>
    </row>
    <row r="263" spans="1:11" ht="15.75">
      <c r="A263" s="11" t="s">
        <v>103</v>
      </c>
      <c r="C263" s="11"/>
      <c r="G263" s="8"/>
      <c r="J263" s="1" t="s">
        <v>58</v>
      </c>
      <c r="K263" s="1">
        <f>SUM(K260:K262)/3</f>
        <v>96156640.21520178</v>
      </c>
    </row>
    <row r="264" spans="1:7" ht="15.75">
      <c r="A264" s="11" t="s">
        <v>69</v>
      </c>
      <c r="B264" s="9">
        <f>0.006*0.0035/0.0084/0.0051</f>
        <v>0.49019607843137253</v>
      </c>
      <c r="C264" s="11"/>
      <c r="G264" s="8"/>
    </row>
    <row r="265" spans="1:15" ht="15.75">
      <c r="A265" s="20">
        <v>1872</v>
      </c>
      <c r="B265" t="s">
        <v>56</v>
      </c>
      <c r="C265" s="11">
        <v>37</v>
      </c>
      <c r="D265">
        <v>20</v>
      </c>
      <c r="E265">
        <v>0.0445521</v>
      </c>
      <c r="F265">
        <v>443626</v>
      </c>
      <c r="G265" s="8">
        <v>9552050</v>
      </c>
      <c r="H265" s="10">
        <f>D265*F265/G265</f>
        <v>0.9288602970043079</v>
      </c>
      <c r="I265">
        <v>146258</v>
      </c>
      <c r="J265" s="1">
        <f>(I265*D265/H265+O265/N265)/E265/0.49</f>
        <v>145795307.53010195</v>
      </c>
      <c r="K265" s="1">
        <f>J265-52100000*0.82</f>
        <v>103073307.53010195</v>
      </c>
      <c r="L265">
        <v>3977</v>
      </c>
      <c r="M265">
        <v>4522</v>
      </c>
      <c r="N265" s="10">
        <f>L265/M265</f>
        <v>0.8794781070322866</v>
      </c>
      <c r="O265">
        <v>29547</v>
      </c>
    </row>
    <row r="266" spans="1:15" ht="15.75">
      <c r="A266" s="20">
        <v>1873</v>
      </c>
      <c r="B266" t="s">
        <v>56</v>
      </c>
      <c r="C266" s="11">
        <v>37</v>
      </c>
      <c r="D266">
        <v>20</v>
      </c>
      <c r="E266">
        <v>0.045021399999999996</v>
      </c>
      <c r="F266">
        <v>445980</v>
      </c>
      <c r="G266" s="8">
        <v>9576270</v>
      </c>
      <c r="H266" s="10">
        <f>D266*F266/G266</f>
        <v>0.9314273720352496</v>
      </c>
      <c r="I266">
        <v>147003</v>
      </c>
      <c r="J266" s="1">
        <f>(I266*D266/H266+O266/N266)/E266/0.49</f>
        <v>144646647.65769568</v>
      </c>
      <c r="K266" s="1">
        <f>J266-52100000*0.82</f>
        <v>101924647.65769568</v>
      </c>
      <c r="L266">
        <v>3979</v>
      </c>
      <c r="M266">
        <v>4581</v>
      </c>
      <c r="N266" s="10">
        <f>L266/M266</f>
        <v>0.8685876446190788</v>
      </c>
      <c r="O266">
        <v>29936</v>
      </c>
    </row>
    <row r="267" spans="1:15" ht="15.75">
      <c r="A267" s="20">
        <v>1874</v>
      </c>
      <c r="B267" t="s">
        <v>56</v>
      </c>
      <c r="C267" s="11">
        <v>37</v>
      </c>
      <c r="D267">
        <v>20</v>
      </c>
      <c r="E267">
        <v>0.0442604</v>
      </c>
      <c r="F267">
        <v>441720</v>
      </c>
      <c r="G267" s="8">
        <v>9512940</v>
      </c>
      <c r="H267" s="10">
        <f>D267*F267/G267</f>
        <v>0.9286718932317454</v>
      </c>
      <c r="I267">
        <v>145209</v>
      </c>
      <c r="J267" s="1">
        <f>(I267*D267/H267+O267/N267)/E267/0.49</f>
        <v>145755994.4392657</v>
      </c>
      <c r="K267" s="1">
        <f>J267-52100000*0.82</f>
        <v>103033994.4392657</v>
      </c>
      <c r="L267">
        <v>3980</v>
      </c>
      <c r="M267">
        <v>4512</v>
      </c>
      <c r="N267" s="10">
        <f>L267/M267</f>
        <v>0.8820921985815603</v>
      </c>
      <c r="O267">
        <v>29865</v>
      </c>
    </row>
    <row r="268" spans="1:11" ht="15.75">
      <c r="A268" s="11" t="s">
        <v>104</v>
      </c>
      <c r="C268" s="11"/>
      <c r="G268" s="8"/>
      <c r="J268" s="1" t="s">
        <v>58</v>
      </c>
      <c r="K268" s="1">
        <f>SUM(K265:K267)/3</f>
        <v>102677316.54235445</v>
      </c>
    </row>
    <row r="269" spans="1:7" ht="15.75">
      <c r="A269" s="11" t="s">
        <v>105</v>
      </c>
      <c r="B269" s="9">
        <f>0.006*0.0035/0.007/0.0056</f>
        <v>0.5357142857142857</v>
      </c>
      <c r="C269" s="11"/>
      <c r="G269" s="8"/>
    </row>
    <row r="270" spans="1:15" ht="15.75">
      <c r="A270" s="20">
        <v>1889</v>
      </c>
      <c r="B270" t="s">
        <v>56</v>
      </c>
      <c r="C270" s="11">
        <v>37</v>
      </c>
      <c r="D270">
        <v>20</v>
      </c>
      <c r="E270">
        <v>0.0408554</v>
      </c>
      <c r="F270">
        <v>423963</v>
      </c>
      <c r="G270" s="8">
        <v>9228700</v>
      </c>
      <c r="H270" s="10">
        <f>D270*F270/G270</f>
        <v>0.9187924626437093</v>
      </c>
      <c r="I270">
        <v>147705</v>
      </c>
      <c r="J270" s="1">
        <f>(I270*D270/H270+O270/N270)/E270/0.536</f>
        <v>148433218.9774751</v>
      </c>
      <c r="K270" s="1">
        <f>J270-52100000*0.82</f>
        <v>105711218.9774751</v>
      </c>
      <c r="L270">
        <v>3625</v>
      </c>
      <c r="M270">
        <v>4191</v>
      </c>
      <c r="N270" s="10">
        <f>L270/M270</f>
        <v>0.8649486995943689</v>
      </c>
      <c r="O270">
        <v>30503</v>
      </c>
    </row>
    <row r="271" spans="1:15" ht="15.75">
      <c r="A271" s="20">
        <v>1890</v>
      </c>
      <c r="B271" t="s">
        <v>56</v>
      </c>
      <c r="C271" s="11">
        <v>34</v>
      </c>
      <c r="D271">
        <v>20</v>
      </c>
      <c r="E271">
        <v>0.0391551</v>
      </c>
      <c r="F271">
        <v>415541</v>
      </c>
      <c r="G271" s="8">
        <v>9093440</v>
      </c>
      <c r="H271" s="10">
        <f>D271*F271/G271</f>
        <v>0.9139357602843369</v>
      </c>
      <c r="I271">
        <v>140212</v>
      </c>
      <c r="J271" s="1">
        <f>(I271*D271/H271+O271/N271)/E271/0.536</f>
        <v>147869432.84621152</v>
      </c>
      <c r="K271" s="1">
        <f>J271-52100000*0.82</f>
        <v>105147432.84621152</v>
      </c>
      <c r="L271">
        <v>3721</v>
      </c>
      <c r="M271">
        <v>4299</v>
      </c>
      <c r="N271" s="10">
        <f>L271/M271</f>
        <v>0.8655501279367295</v>
      </c>
      <c r="O271">
        <v>30332</v>
      </c>
    </row>
    <row r="272" spans="1:15" ht="15.75">
      <c r="A272" s="20">
        <v>1891</v>
      </c>
      <c r="B272" t="s">
        <v>56</v>
      </c>
      <c r="C272" s="11">
        <v>37</v>
      </c>
      <c r="D272">
        <v>20</v>
      </c>
      <c r="E272">
        <v>0.039924299999999996</v>
      </c>
      <c r="F272">
        <v>419750</v>
      </c>
      <c r="G272" s="8">
        <v>9171170</v>
      </c>
      <c r="H272" s="10">
        <f>D272*F272/G272</f>
        <v>0.9153684862454845</v>
      </c>
      <c r="I272">
        <v>143567</v>
      </c>
      <c r="J272" s="1">
        <f>(I272*D272/H272+O272/N272)/E272/0.536</f>
        <v>148243605.42394596</v>
      </c>
      <c r="K272" s="1">
        <f>J272-52100000*0.82</f>
        <v>105521605.42394596</v>
      </c>
      <c r="L272">
        <v>3530</v>
      </c>
      <c r="M272">
        <v>4086</v>
      </c>
      <c r="N272" s="10">
        <f>L272/M272</f>
        <v>0.863925599608419</v>
      </c>
      <c r="O272">
        <v>30682</v>
      </c>
    </row>
    <row r="273" spans="10:11" ht="15.75">
      <c r="J273" s="1" t="s">
        <v>58</v>
      </c>
      <c r="K273" s="1">
        <f>SUM(K270:K272)/3</f>
        <v>105460085.74921088</v>
      </c>
    </row>
    <row r="274" spans="1:15" ht="15.75">
      <c r="A274" t="s">
        <v>27</v>
      </c>
      <c r="B274" t="s">
        <v>28</v>
      </c>
      <c r="C274" t="s">
        <v>1</v>
      </c>
      <c r="D274" t="s">
        <v>29</v>
      </c>
      <c r="E274" t="s">
        <v>30</v>
      </c>
      <c r="F274" t="s">
        <v>31</v>
      </c>
      <c r="G274" t="s">
        <v>32</v>
      </c>
      <c r="H274" t="s">
        <v>33</v>
      </c>
      <c r="I274" t="s">
        <v>34</v>
      </c>
      <c r="J274" s="1" t="s">
        <v>35</v>
      </c>
      <c r="K274" t="s">
        <v>36</v>
      </c>
      <c r="L274" t="s">
        <v>37</v>
      </c>
      <c r="M274" t="s">
        <v>38</v>
      </c>
      <c r="N274" t="s">
        <v>39</v>
      </c>
      <c r="O274" t="s">
        <v>40</v>
      </c>
    </row>
    <row r="275" ht="15.75">
      <c r="A275" t="s">
        <v>106</v>
      </c>
    </row>
    <row r="276" spans="1:2" ht="15.75">
      <c r="A276" t="s">
        <v>74</v>
      </c>
      <c r="B276" s="9">
        <f>0.006*0.0035/0.0084/0.0051</f>
        <v>0.49019607843137253</v>
      </c>
    </row>
    <row r="277" spans="1:15" ht="15.75">
      <c r="A277" s="20">
        <v>1895</v>
      </c>
      <c r="B277" t="s">
        <v>56</v>
      </c>
      <c r="C277" s="11">
        <v>18</v>
      </c>
      <c r="D277">
        <v>34</v>
      </c>
      <c r="E277">
        <v>0.026334899999999998</v>
      </c>
      <c r="F277">
        <v>136938</v>
      </c>
      <c r="G277" s="8">
        <v>5412960</v>
      </c>
      <c r="H277" s="10">
        <f>D277*F277/G277</f>
        <v>0.8601378912831427</v>
      </c>
      <c r="I277">
        <v>46621</v>
      </c>
      <c r="J277" s="1">
        <f>(I277*D277/H277+O277/N277)/E277/0.49</f>
        <v>144139364.19330025</v>
      </c>
      <c r="K277" s="1">
        <f>J277-52100000*0.82</f>
        <v>101417364.19330025</v>
      </c>
      <c r="L277">
        <v>4877</v>
      </c>
      <c r="M277">
        <v>5359</v>
      </c>
      <c r="N277" s="10">
        <f>L277/M277</f>
        <v>0.9100578466131741</v>
      </c>
      <c r="O277">
        <v>15588</v>
      </c>
    </row>
    <row r="278" spans="1:15" ht="15.75">
      <c r="A278" s="20">
        <v>1896</v>
      </c>
      <c r="B278" t="s">
        <v>56</v>
      </c>
      <c r="C278" s="11">
        <v>37</v>
      </c>
      <c r="D278">
        <v>40</v>
      </c>
      <c r="E278">
        <v>0.0439357</v>
      </c>
      <c r="F278">
        <v>216327</v>
      </c>
      <c r="G278" s="8">
        <v>9600340</v>
      </c>
      <c r="H278" s="10">
        <f>D278*F278/G278</f>
        <v>0.901330577875367</v>
      </c>
      <c r="I278">
        <v>70403</v>
      </c>
      <c r="J278" s="1">
        <f>(I278*D278/H278+O278/N278)/E278/0.49</f>
        <v>147310207.88457888</v>
      </c>
      <c r="K278" s="1">
        <f>J278-52100000*0.82</f>
        <v>104588207.88457888</v>
      </c>
      <c r="L278">
        <v>3963</v>
      </c>
      <c r="M278">
        <v>4508</v>
      </c>
      <c r="N278" s="10">
        <f>L278/M278</f>
        <v>0.8791038154392191</v>
      </c>
      <c r="O278">
        <v>41286</v>
      </c>
    </row>
    <row r="279" spans="1:15" ht="15.75">
      <c r="A279" s="20">
        <v>1897</v>
      </c>
      <c r="B279" t="s">
        <v>56</v>
      </c>
      <c r="C279" s="11">
        <v>34</v>
      </c>
      <c r="D279">
        <v>40</v>
      </c>
      <c r="E279">
        <v>0.0434397</v>
      </c>
      <c r="F279">
        <v>215063</v>
      </c>
      <c r="G279" s="8">
        <v>9542670</v>
      </c>
      <c r="H279" s="10">
        <f>D279*F279/G279</f>
        <v>0.9014793553586156</v>
      </c>
      <c r="I279">
        <v>69750</v>
      </c>
      <c r="J279" s="1">
        <f>(I279*D279/H279+O279/N279)/E279/0.49</f>
        <v>147571896.9503167</v>
      </c>
      <c r="K279" s="1">
        <f>J279-52100000*0.82</f>
        <v>104849896.9503167</v>
      </c>
      <c r="L279">
        <v>4134</v>
      </c>
      <c r="M279">
        <v>4739</v>
      </c>
      <c r="N279" s="10">
        <f>L279/M279</f>
        <v>0.8723359358514454</v>
      </c>
      <c r="O279">
        <v>40321</v>
      </c>
    </row>
    <row r="280" spans="1:15" ht="15.75">
      <c r="A280" s="20">
        <v>1907</v>
      </c>
      <c r="B280" t="s">
        <v>56</v>
      </c>
      <c r="C280" s="11">
        <v>37</v>
      </c>
      <c r="D280">
        <v>40</v>
      </c>
      <c r="E280">
        <v>0.044941499999999995</v>
      </c>
      <c r="F280">
        <v>220028</v>
      </c>
      <c r="G280" s="8">
        <v>9732840</v>
      </c>
      <c r="H280" s="10">
        <f>D280*F280/G280</f>
        <v>0.9042704904221173</v>
      </c>
      <c r="I280">
        <v>71657</v>
      </c>
      <c r="J280" s="1">
        <f>(I280*D280/H280+O280/N280)/E280/0.49</f>
        <v>146113694.33545944</v>
      </c>
      <c r="K280" s="1">
        <f>J280-52100000*0.82</f>
        <v>103391694.33545944</v>
      </c>
      <c r="L280">
        <v>3887</v>
      </c>
      <c r="M280">
        <v>4482</v>
      </c>
      <c r="N280" s="10">
        <f>L280/M280</f>
        <v>0.8672467648371263</v>
      </c>
      <c r="O280">
        <v>41544</v>
      </c>
    </row>
    <row r="281" spans="1:15" ht="15.75">
      <c r="A281" s="20">
        <v>1908</v>
      </c>
      <c r="B281" t="s">
        <v>56</v>
      </c>
      <c r="C281" s="11">
        <v>27</v>
      </c>
      <c r="D281">
        <v>40</v>
      </c>
      <c r="E281">
        <v>0.043227499999999995</v>
      </c>
      <c r="F281">
        <v>213485</v>
      </c>
      <c r="G281" s="8">
        <v>9505640</v>
      </c>
      <c r="H281" s="10">
        <f>D281*F281/G281</f>
        <v>0.8983508737970299</v>
      </c>
      <c r="I281">
        <v>68725</v>
      </c>
      <c r="J281" s="1">
        <f>(I281*D281/H281+O281/N281)/E281/0.49</f>
        <v>146588935.83068773</v>
      </c>
      <c r="K281" s="1">
        <f>J281-52100000*0.82</f>
        <v>103866935.83068773</v>
      </c>
      <c r="L281">
        <v>5386</v>
      </c>
      <c r="M281">
        <v>5982</v>
      </c>
      <c r="N281" s="10">
        <f>L281/M281</f>
        <v>0.9003677699765965</v>
      </c>
      <c r="O281">
        <v>40443</v>
      </c>
    </row>
    <row r="282" spans="1:15" ht="15.75">
      <c r="A282" s="20">
        <v>1909</v>
      </c>
      <c r="B282" t="s">
        <v>56</v>
      </c>
      <c r="C282" s="11">
        <v>35</v>
      </c>
      <c r="D282">
        <v>40</v>
      </c>
      <c r="E282">
        <v>0.0421968</v>
      </c>
      <c r="F282">
        <v>210181</v>
      </c>
      <c r="G282" s="8">
        <v>9375420</v>
      </c>
      <c r="H282" s="10">
        <f>D282*F282/G282</f>
        <v>0.8967320930688972</v>
      </c>
      <c r="I282">
        <v>67413</v>
      </c>
      <c r="J282" s="1">
        <f>(I282*D282/H282+O282/N282)/E282/0.49</f>
        <v>147661009.89817116</v>
      </c>
      <c r="K282" s="1">
        <f>J282-52100000*0.82</f>
        <v>104939009.89817116</v>
      </c>
      <c r="L282">
        <v>3918</v>
      </c>
      <c r="M282">
        <v>4483</v>
      </c>
      <c r="N282" s="10">
        <f>L282/M282</f>
        <v>0.8739683247825117</v>
      </c>
      <c r="O282">
        <v>40247</v>
      </c>
    </row>
    <row r="283" spans="1:15" ht="15.75">
      <c r="A283" s="20">
        <v>1913</v>
      </c>
      <c r="B283" t="s">
        <v>56</v>
      </c>
      <c r="C283" s="11">
        <v>24</v>
      </c>
      <c r="D283">
        <v>30</v>
      </c>
      <c r="E283">
        <v>0.0495501</v>
      </c>
      <c r="F283">
        <v>355045</v>
      </c>
      <c r="G283" s="8">
        <v>11580300</v>
      </c>
      <c r="H283" s="10">
        <f>D283*F283/G283</f>
        <v>0.9197818709359861</v>
      </c>
      <c r="I283">
        <v>108994</v>
      </c>
      <c r="J283" s="1">
        <f>(I283*D283/H283+O283/N283)/E283/0.49</f>
        <v>148828768.91491953</v>
      </c>
      <c r="K283" s="1">
        <f>J283-52100000*0.82</f>
        <v>106106768.91491953</v>
      </c>
      <c r="L283">
        <v>4738</v>
      </c>
      <c r="M283">
        <v>5335</v>
      </c>
      <c r="N283" s="10">
        <f>L283/M283</f>
        <v>0.8880974695407685</v>
      </c>
      <c r="O283">
        <v>51954</v>
      </c>
    </row>
    <row r="284" spans="1:15" ht="15.75">
      <c r="A284" s="20">
        <v>1914</v>
      </c>
      <c r="B284" t="s">
        <v>56</v>
      </c>
      <c r="C284" s="11">
        <v>25</v>
      </c>
      <c r="D284">
        <v>30</v>
      </c>
      <c r="E284">
        <v>0.0463282</v>
      </c>
      <c r="F284">
        <v>348538</v>
      </c>
      <c r="G284" s="8">
        <v>11634600</v>
      </c>
      <c r="H284" s="10">
        <f>D284*F284/G284</f>
        <v>0.8987107420968491</v>
      </c>
      <c r="I284">
        <v>101958</v>
      </c>
      <c r="J284" s="1">
        <f>(I284*D284/H284+O284/N284)/E284/0.49</f>
        <v>152369147.16006044</v>
      </c>
      <c r="K284" s="1">
        <f>J284-52100000*0.82</f>
        <v>109647147.16006044</v>
      </c>
      <c r="L284">
        <v>5077</v>
      </c>
      <c r="M284">
        <v>5739</v>
      </c>
      <c r="N284" s="10">
        <f>L284/M284</f>
        <v>0.8846488935354592</v>
      </c>
      <c r="O284">
        <v>49035</v>
      </c>
    </row>
    <row r="285" spans="1:15" ht="15.75">
      <c r="A285" s="20">
        <v>1915</v>
      </c>
      <c r="B285" t="s">
        <v>56</v>
      </c>
      <c r="C285" s="11">
        <v>25</v>
      </c>
      <c r="D285">
        <v>30</v>
      </c>
      <c r="E285">
        <v>0.0545274</v>
      </c>
      <c r="F285">
        <v>371363</v>
      </c>
      <c r="G285" s="8">
        <v>11924500</v>
      </c>
      <c r="H285" s="10">
        <f>D285*F285/G285</f>
        <v>0.9342857142857143</v>
      </c>
      <c r="I285">
        <v>120415</v>
      </c>
      <c r="J285" s="1">
        <f>(I285*D285/H285+O285/N285)/E285/0.49</f>
        <v>146919269.7306382</v>
      </c>
      <c r="K285" s="1">
        <f>J285-52100000*0.82</f>
        <v>104197269.7306382</v>
      </c>
      <c r="L285">
        <v>5002</v>
      </c>
      <c r="M285">
        <v>5585</v>
      </c>
      <c r="N285" s="10">
        <f>L285/M285</f>
        <v>0.8956132497761862</v>
      </c>
      <c r="O285">
        <v>52765</v>
      </c>
    </row>
    <row r="286" spans="1:11" ht="15.75">
      <c r="A286" s="11"/>
      <c r="C286" s="11"/>
      <c r="G286" s="8"/>
      <c r="I286" t="s">
        <v>107</v>
      </c>
      <c r="J286" s="1">
        <f>SUM(J277:J285)/9</f>
        <v>147500254.98868138</v>
      </c>
      <c r="K286" s="1">
        <f>J286-52100000*0.82</f>
        <v>104778254.98868138</v>
      </c>
    </row>
    <row r="287" spans="1:15" ht="15.75">
      <c r="A287" t="s">
        <v>27</v>
      </c>
      <c r="B287" t="s">
        <v>28</v>
      </c>
      <c r="C287" t="s">
        <v>1</v>
      </c>
      <c r="D287" t="s">
        <v>29</v>
      </c>
      <c r="E287" t="s">
        <v>30</v>
      </c>
      <c r="F287" t="s">
        <v>31</v>
      </c>
      <c r="G287" t="s">
        <v>32</v>
      </c>
      <c r="H287" t="s">
        <v>33</v>
      </c>
      <c r="I287" t="s">
        <v>34</v>
      </c>
      <c r="J287" s="1" t="s">
        <v>35</v>
      </c>
      <c r="K287" t="s">
        <v>36</v>
      </c>
      <c r="L287" t="s">
        <v>37</v>
      </c>
      <c r="M287" t="s">
        <v>38</v>
      </c>
      <c r="N287" t="s">
        <v>39</v>
      </c>
      <c r="O287" t="s">
        <v>40</v>
      </c>
    </row>
    <row r="288" ht="15.75">
      <c r="A288" t="s">
        <v>108</v>
      </c>
    </row>
    <row r="289" spans="1:2" ht="15.75">
      <c r="A289" t="s">
        <v>74</v>
      </c>
      <c r="B289" s="9">
        <f>0.006*0.002/0.0084/0.0051</f>
        <v>0.2801120448179271</v>
      </c>
    </row>
    <row r="290" spans="1:15" ht="15.75">
      <c r="A290" s="20">
        <v>1895</v>
      </c>
      <c r="B290" t="s">
        <v>56</v>
      </c>
      <c r="C290" s="11">
        <v>18</v>
      </c>
      <c r="D290">
        <v>34</v>
      </c>
      <c r="E290">
        <v>0.026334899999999998</v>
      </c>
      <c r="F290">
        <v>136938</v>
      </c>
      <c r="G290" s="8">
        <v>5412960</v>
      </c>
      <c r="H290" s="10">
        <f>D290*F290/G290</f>
        <v>0.8601378912831427</v>
      </c>
      <c r="I290">
        <v>25610</v>
      </c>
      <c r="J290" s="1">
        <f>(I290*D290/H290+O290/N290)/E290/0.28</f>
        <v>138320408.50514925</v>
      </c>
      <c r="K290" s="1">
        <f>J290-52100000*0.82</f>
        <v>95598408.50514925</v>
      </c>
      <c r="L290">
        <v>4877</v>
      </c>
      <c r="M290">
        <v>5359</v>
      </c>
      <c r="N290" s="10">
        <f>L290/M290</f>
        <v>0.9100578466131741</v>
      </c>
      <c r="O290">
        <v>6932</v>
      </c>
    </row>
    <row r="291" spans="1:15" ht="15.75">
      <c r="A291" s="20">
        <v>1896</v>
      </c>
      <c r="B291" t="s">
        <v>56</v>
      </c>
      <c r="C291" s="11">
        <v>37</v>
      </c>
      <c r="D291">
        <v>40</v>
      </c>
      <c r="E291">
        <v>0.0439357</v>
      </c>
      <c r="F291">
        <v>216327</v>
      </c>
      <c r="G291" s="8">
        <v>9600340</v>
      </c>
      <c r="H291" s="10">
        <f>D291*F291/G291</f>
        <v>0.901330577875367</v>
      </c>
      <c r="I291">
        <v>38576</v>
      </c>
      <c r="J291" s="1">
        <f>(I291*D291/H291+O291/N291)/E291/0.28</f>
        <v>140775080.8688245</v>
      </c>
      <c r="K291" s="1">
        <f>J291-52100000*0.82</f>
        <v>98053080.86882451</v>
      </c>
      <c r="L291">
        <v>3963</v>
      </c>
      <c r="M291">
        <v>4508</v>
      </c>
      <c r="N291" s="10">
        <f>L291/M291</f>
        <v>0.8791038154392191</v>
      </c>
      <c r="O291">
        <v>17456</v>
      </c>
    </row>
    <row r="292" spans="1:15" ht="15.75">
      <c r="A292" s="20">
        <v>1897</v>
      </c>
      <c r="B292" t="s">
        <v>56</v>
      </c>
      <c r="C292" s="11">
        <v>34</v>
      </c>
      <c r="D292">
        <v>40</v>
      </c>
      <c r="E292">
        <v>0.0434397</v>
      </c>
      <c r="F292">
        <v>215063</v>
      </c>
      <c r="G292" s="8">
        <v>9542670</v>
      </c>
      <c r="H292" s="10">
        <f>D292*F292/G292</f>
        <v>0.9014793553586156</v>
      </c>
      <c r="I292">
        <v>38291</v>
      </c>
      <c r="J292" s="1">
        <f>(I292*D292/H292+O292/N292)/E292/0.28</f>
        <v>141299981.71277452</v>
      </c>
      <c r="K292" s="1">
        <f>J292-52100000*0.82</f>
        <v>98577981.71277452</v>
      </c>
      <c r="L292">
        <v>4134</v>
      </c>
      <c r="M292">
        <v>4739</v>
      </c>
      <c r="N292" s="10">
        <f>L292/M292</f>
        <v>0.8723359358514454</v>
      </c>
      <c r="O292">
        <v>17114</v>
      </c>
    </row>
    <row r="293" spans="1:15" ht="15.75">
      <c r="A293" s="20">
        <v>1907</v>
      </c>
      <c r="B293" t="s">
        <v>56</v>
      </c>
      <c r="C293" s="11">
        <v>37</v>
      </c>
      <c r="D293">
        <v>40</v>
      </c>
      <c r="E293">
        <v>0.044941499999999995</v>
      </c>
      <c r="F293">
        <v>220028</v>
      </c>
      <c r="G293" s="8">
        <v>9732840</v>
      </c>
      <c r="H293" s="10">
        <f>D293*F293/G293</f>
        <v>0.9042704904221173</v>
      </c>
      <c r="I293">
        <v>39163</v>
      </c>
      <c r="J293" s="1">
        <f>(I293*D293/H293+O293/N293)/E293/0.28</f>
        <v>139300395.07107684</v>
      </c>
      <c r="K293" s="1">
        <f>J293-52100000*0.82</f>
        <v>96578395.07107684</v>
      </c>
      <c r="L293">
        <v>3887</v>
      </c>
      <c r="M293">
        <v>4482</v>
      </c>
      <c r="N293" s="10">
        <f>L293/M293</f>
        <v>0.8672467648371263</v>
      </c>
      <c r="O293">
        <v>17818</v>
      </c>
    </row>
    <row r="294" spans="1:15" ht="15.75">
      <c r="A294" s="20">
        <v>1908</v>
      </c>
      <c r="B294" t="s">
        <v>56</v>
      </c>
      <c r="C294" s="11">
        <v>27</v>
      </c>
      <c r="D294">
        <v>40</v>
      </c>
      <c r="E294">
        <v>0.043227499999999995</v>
      </c>
      <c r="F294">
        <v>213485</v>
      </c>
      <c r="G294" s="8">
        <v>9505640</v>
      </c>
      <c r="H294" s="10">
        <f>D294*F294/G294</f>
        <v>0.8983508737970299</v>
      </c>
      <c r="I294">
        <v>37468</v>
      </c>
      <c r="J294" s="1">
        <f>(I294*D294/H294+O294/N294)/E294/0.28</f>
        <v>139420193.71170837</v>
      </c>
      <c r="K294" s="1">
        <f>J294-52100000*0.82</f>
        <v>96698193.71170837</v>
      </c>
      <c r="L294">
        <v>5386</v>
      </c>
      <c r="M294">
        <v>5982</v>
      </c>
      <c r="N294" s="10">
        <f>L294/M294</f>
        <v>0.9003677699765965</v>
      </c>
      <c r="O294">
        <v>17286</v>
      </c>
    </row>
    <row r="295" spans="1:15" ht="15.75">
      <c r="A295" s="20">
        <v>1909</v>
      </c>
      <c r="B295" t="s">
        <v>56</v>
      </c>
      <c r="C295" s="11">
        <v>35</v>
      </c>
      <c r="D295">
        <v>40</v>
      </c>
      <c r="E295">
        <v>0.0421968</v>
      </c>
      <c r="F295">
        <v>210181</v>
      </c>
      <c r="G295" s="8">
        <v>9375420</v>
      </c>
      <c r="H295" s="10">
        <f>D295*F295/G295</f>
        <v>0.8967320930688972</v>
      </c>
      <c r="I295">
        <v>36946</v>
      </c>
      <c r="J295" s="1">
        <f>(I295*D295/H295+O295/N295)/E295/0.28</f>
        <v>141138959.99570522</v>
      </c>
      <c r="K295" s="1">
        <f>J295-52100000*0.82</f>
        <v>98416959.99570522</v>
      </c>
      <c r="L295">
        <v>3918</v>
      </c>
      <c r="M295">
        <v>4483</v>
      </c>
      <c r="N295" s="10">
        <f>L295/M295</f>
        <v>0.8739683247825117</v>
      </c>
      <c r="O295">
        <v>17080</v>
      </c>
    </row>
    <row r="296" spans="1:15" ht="15.75">
      <c r="A296" s="20">
        <v>1913</v>
      </c>
      <c r="B296" t="s">
        <v>56</v>
      </c>
      <c r="C296" s="11">
        <v>24</v>
      </c>
      <c r="D296">
        <v>30</v>
      </c>
      <c r="E296">
        <v>0.0495501</v>
      </c>
      <c r="F296">
        <v>355045</v>
      </c>
      <c r="G296" s="8">
        <v>11580300</v>
      </c>
      <c r="H296" s="10">
        <f>D296*F296/G296</f>
        <v>0.9197818709359861</v>
      </c>
      <c r="I296">
        <v>59639</v>
      </c>
      <c r="J296" s="1">
        <f>(I296*D296/H296+O296/N296)/E296/0.28</f>
        <v>141985852.9142609</v>
      </c>
      <c r="K296" s="1">
        <f>J296-52100000*0.82</f>
        <v>99263852.9142609</v>
      </c>
      <c r="L296">
        <v>4738</v>
      </c>
      <c r="M296">
        <v>5335</v>
      </c>
      <c r="N296" s="10">
        <f>L296/M296</f>
        <v>0.8880974695407685</v>
      </c>
      <c r="O296">
        <v>21940</v>
      </c>
    </row>
    <row r="297" spans="1:15" ht="15.75">
      <c r="A297" s="20">
        <v>1914</v>
      </c>
      <c r="B297" t="s">
        <v>56</v>
      </c>
      <c r="C297" s="11">
        <v>25</v>
      </c>
      <c r="D297">
        <v>30</v>
      </c>
      <c r="E297">
        <v>0.0463282</v>
      </c>
      <c r="F297">
        <v>348538</v>
      </c>
      <c r="G297" s="8">
        <v>11634600</v>
      </c>
      <c r="H297" s="10">
        <f>D297*F297/G297</f>
        <v>0.8987107420968491</v>
      </c>
      <c r="I297">
        <v>55690</v>
      </c>
      <c r="J297" s="1">
        <f>(I297*D297/H297+O297/N297)/E297/0.28</f>
        <v>145099247.79676393</v>
      </c>
      <c r="K297" s="1">
        <f>J297-52100000*0.82</f>
        <v>102377247.79676393</v>
      </c>
      <c r="L297">
        <v>5077</v>
      </c>
      <c r="M297">
        <v>5739</v>
      </c>
      <c r="N297" s="10">
        <f>L297/M297</f>
        <v>0.8846488935354592</v>
      </c>
      <c r="O297">
        <v>20538</v>
      </c>
    </row>
    <row r="298" spans="1:15" ht="15.75">
      <c r="A298" s="20">
        <v>1915</v>
      </c>
      <c r="B298" t="s">
        <v>56</v>
      </c>
      <c r="C298" s="11">
        <v>25</v>
      </c>
      <c r="D298">
        <v>30</v>
      </c>
      <c r="E298">
        <v>0.0545274</v>
      </c>
      <c r="F298">
        <v>371363</v>
      </c>
      <c r="G298" s="8">
        <v>11924500</v>
      </c>
      <c r="H298" s="10">
        <f>D298*F298/G298</f>
        <v>0.9342857142857143</v>
      </c>
      <c r="I298">
        <v>65871</v>
      </c>
      <c r="J298" s="1">
        <f>(I298*D298/H298+O298/N298)/E298/0.28</f>
        <v>140167240.936823</v>
      </c>
      <c r="K298" s="1">
        <f>J298-52100000*0.82</f>
        <v>97445240.93682301</v>
      </c>
      <c r="L298">
        <v>5002</v>
      </c>
      <c r="M298">
        <v>5585</v>
      </c>
      <c r="N298" s="10">
        <f>L298/M298</f>
        <v>0.8956132497761862</v>
      </c>
      <c r="O298">
        <v>22304</v>
      </c>
    </row>
    <row r="299" spans="9:11" ht="15.75">
      <c r="I299" t="s">
        <v>107</v>
      </c>
      <c r="J299" s="1">
        <f>SUM(J290:J298)/9</f>
        <v>140834151.27923182</v>
      </c>
      <c r="K299" s="1">
        <f>J299-52100000*0.82</f>
        <v>98112151.27923182</v>
      </c>
    </row>
    <row r="300" spans="1:15" ht="15.75">
      <c r="A300" s="24" t="s">
        <v>109</v>
      </c>
      <c r="B300" s="24"/>
      <c r="C300" s="24"/>
      <c r="D300" s="24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</row>
    <row r="301" spans="1:15" ht="15.75">
      <c r="A301" t="s">
        <v>110</v>
      </c>
      <c r="B301" t="s">
        <v>111</v>
      </c>
      <c r="F301" t="s">
        <v>112</v>
      </c>
      <c r="G301" s="5"/>
      <c r="H301" s="26">
        <f>0.09423/COS(30/57.29)</f>
        <v>0.10881075023355992</v>
      </c>
      <c r="I301" s="27"/>
      <c r="J301" s="16" t="s">
        <v>113</v>
      </c>
      <c r="K301" s="28">
        <f>0.09423/0.0838</f>
        <v>1.1244630071599047</v>
      </c>
      <c r="L301" s="27"/>
      <c r="M301" s="27"/>
      <c r="N301" s="28"/>
      <c r="O301" s="27"/>
    </row>
    <row r="302" spans="7:15" ht="15.75">
      <c r="G302" s="5"/>
      <c r="I302" s="27" t="s">
        <v>114</v>
      </c>
      <c r="J302" s="16">
        <v>48740000</v>
      </c>
      <c r="K302" s="16" t="s">
        <v>115</v>
      </c>
      <c r="L302" s="27">
        <f>48700000*1.124</f>
        <v>54738800.00000001</v>
      </c>
      <c r="M302" s="27"/>
      <c r="N302" s="27"/>
      <c r="O302" s="27"/>
    </row>
    <row r="303" spans="1:15" ht="15.75">
      <c r="A303" t="s">
        <v>27</v>
      </c>
      <c r="B303" t="s">
        <v>28</v>
      </c>
      <c r="C303" t="s">
        <v>1</v>
      </c>
      <c r="D303" t="s">
        <v>29</v>
      </c>
      <c r="E303" t="s">
        <v>30</v>
      </c>
      <c r="F303" t="s">
        <v>31</v>
      </c>
      <c r="G303" t="s">
        <v>32</v>
      </c>
      <c r="H303" t="s">
        <v>33</v>
      </c>
      <c r="I303" t="s">
        <v>34</v>
      </c>
      <c r="J303" s="1" t="s">
        <v>35</v>
      </c>
      <c r="K303" t="s">
        <v>36</v>
      </c>
      <c r="L303" t="s">
        <v>37</v>
      </c>
      <c r="M303" t="s">
        <v>38</v>
      </c>
      <c r="N303" t="s">
        <v>39</v>
      </c>
      <c r="O303" t="s">
        <v>40</v>
      </c>
    </row>
    <row r="304" spans="1:15" ht="15.75">
      <c r="A304" t="s">
        <v>116</v>
      </c>
      <c r="G304" s="5"/>
      <c r="I304" s="27"/>
      <c r="J304" s="16"/>
      <c r="K304" s="16"/>
      <c r="L304" s="27"/>
      <c r="M304" s="27"/>
      <c r="N304" s="27"/>
      <c r="O304" s="27"/>
    </row>
    <row r="305" spans="1:15" ht="15.75">
      <c r="A305" t="s">
        <v>50</v>
      </c>
      <c r="B305" s="9">
        <f>0.007*0.0025/0.0092/0.0065</f>
        <v>0.29264214046822745</v>
      </c>
      <c r="E305" t="s">
        <v>117</v>
      </c>
      <c r="G305" s="5"/>
      <c r="I305" s="27">
        <f>48820000*1.124</f>
        <v>54873680.00000001</v>
      </c>
      <c r="J305" s="16" t="s">
        <v>118</v>
      </c>
      <c r="K305" s="16">
        <v>54738800</v>
      </c>
      <c r="L305" s="27"/>
      <c r="M305" s="27"/>
      <c r="N305" s="27"/>
      <c r="O305" s="27"/>
    </row>
    <row r="306" spans="1:15" ht="15.75">
      <c r="A306" s="11">
        <v>1326</v>
      </c>
      <c r="B306" t="s">
        <v>119</v>
      </c>
      <c r="C306" s="11">
        <v>68</v>
      </c>
      <c r="D306">
        <v>40</v>
      </c>
      <c r="E306">
        <v>0.11179599999999999</v>
      </c>
      <c r="F306">
        <v>465891</v>
      </c>
      <c r="G306" s="1">
        <v>19671400</v>
      </c>
      <c r="H306" s="10">
        <f>D306*F306/G306</f>
        <v>0.9473469097268115</v>
      </c>
      <c r="I306" s="27">
        <v>140769</v>
      </c>
      <c r="J306" s="16">
        <f>(I306*D306/H306+O306/N306)/E306/0.293</f>
        <v>183184515.03096944</v>
      </c>
      <c r="K306" s="16">
        <f>J306-54878800*0.82</f>
        <v>138183899.03096944</v>
      </c>
      <c r="L306" s="27">
        <v>5556</v>
      </c>
      <c r="M306" s="27">
        <v>6097</v>
      </c>
      <c r="N306" s="27">
        <f>L306/M306</f>
        <v>0.911267836640971</v>
      </c>
      <c r="O306" s="27">
        <v>51686</v>
      </c>
    </row>
    <row r="307" spans="1:15" ht="15.75">
      <c r="A307" s="11">
        <v>1327</v>
      </c>
      <c r="B307" t="s">
        <v>119</v>
      </c>
      <c r="C307" s="11">
        <v>46.6</v>
      </c>
      <c r="D307">
        <v>40</v>
      </c>
      <c r="E307">
        <v>0.11164</v>
      </c>
      <c r="F307">
        <v>466469</v>
      </c>
      <c r="G307" s="1">
        <v>19591800</v>
      </c>
      <c r="H307" s="10">
        <f>D307*F307/G307</f>
        <v>0.9523759940383222</v>
      </c>
      <c r="I307" s="27">
        <v>141725</v>
      </c>
      <c r="J307" s="16">
        <f>(I307*D307/H307+O307/N307)/E307/0.293</f>
        <v>183571286.8145357</v>
      </c>
      <c r="K307" s="16">
        <f>J307-54878800*0.82</f>
        <v>138570670.8145357</v>
      </c>
      <c r="L307" s="27">
        <v>8333</v>
      </c>
      <c r="M307" s="27">
        <v>8874</v>
      </c>
      <c r="N307" s="27">
        <f>L307/M307</f>
        <v>0.93903538426865</v>
      </c>
      <c r="O307" s="27">
        <v>49047</v>
      </c>
    </row>
    <row r="308" spans="1:15" ht="15.75">
      <c r="A308" s="11">
        <v>1328</v>
      </c>
      <c r="B308" t="s">
        <v>119</v>
      </c>
      <c r="C308" s="11">
        <v>39.7</v>
      </c>
      <c r="D308">
        <v>500</v>
      </c>
      <c r="E308">
        <v>0.161567</v>
      </c>
      <c r="F308">
        <v>55421</v>
      </c>
      <c r="G308" s="1">
        <v>28239400</v>
      </c>
      <c r="H308" s="10">
        <f>D308*F308/G308</f>
        <v>0.9812708485307762</v>
      </c>
      <c r="I308" s="27">
        <v>17116</v>
      </c>
      <c r="J308" s="16">
        <f>(I308*D308/H308+O308/N308)/E308/0.293</f>
        <v>185790621.08417442</v>
      </c>
      <c r="K308" s="16">
        <f>J308-54878800*0.82</f>
        <v>140790005.08417442</v>
      </c>
      <c r="L308" s="27">
        <v>14742</v>
      </c>
      <c r="M308" s="27">
        <v>15048</v>
      </c>
      <c r="N308" s="27">
        <f>L308/M308</f>
        <v>0.9796650717703349</v>
      </c>
      <c r="O308" s="27">
        <v>72322</v>
      </c>
    </row>
    <row r="309" spans="7:15" ht="15.75">
      <c r="G309" s="1"/>
      <c r="I309" s="27"/>
      <c r="J309" s="16" t="s">
        <v>58</v>
      </c>
      <c r="K309" s="16">
        <f>SUM(K306:K308)/3</f>
        <v>139181524.97655985</v>
      </c>
      <c r="L309" s="27"/>
      <c r="M309" s="27"/>
      <c r="N309" s="27"/>
      <c r="O309" s="27"/>
    </row>
    <row r="310" spans="1:15" ht="15.75">
      <c r="A310" t="s">
        <v>120</v>
      </c>
      <c r="G310" s="1"/>
      <c r="I310" s="27"/>
      <c r="J310" s="16" t="s">
        <v>118</v>
      </c>
      <c r="K310" s="16">
        <v>57436000</v>
      </c>
      <c r="L310" s="27" t="s">
        <v>121</v>
      </c>
      <c r="M310" s="27"/>
      <c r="N310" s="27"/>
      <c r="O310" s="27"/>
    </row>
    <row r="311" spans="1:15" ht="15.75">
      <c r="A311" t="s">
        <v>50</v>
      </c>
      <c r="B311" s="9">
        <f>0.0035*0.003/0.0085/0.0051</f>
        <v>0.2422145328719723</v>
      </c>
      <c r="G311" s="1"/>
      <c r="I311" s="27"/>
      <c r="J311" s="16">
        <f>51100000*1.124</f>
        <v>57436400.00000001</v>
      </c>
      <c r="K311" s="16" t="s">
        <v>122</v>
      </c>
      <c r="L311" s="27"/>
      <c r="M311" s="27"/>
      <c r="N311" s="27"/>
      <c r="O311" s="27"/>
    </row>
    <row r="312" spans="1:15" ht="15.75">
      <c r="A312" s="11">
        <v>1977</v>
      </c>
      <c r="C312" s="11">
        <v>37</v>
      </c>
      <c r="D312">
        <v>30</v>
      </c>
      <c r="E312">
        <v>0.0575261</v>
      </c>
      <c r="F312">
        <v>436330</v>
      </c>
      <c r="G312" s="1">
        <v>13849100</v>
      </c>
      <c r="H312" s="10">
        <f>D312*F312/G312</f>
        <v>0.9451805532489476</v>
      </c>
      <c r="I312" s="27">
        <v>83698</v>
      </c>
      <c r="J312" s="16">
        <f>(I312*D312/H312+O312/N312)/E312/0.242</f>
        <v>192820397.4686486</v>
      </c>
      <c r="K312" s="16">
        <f>J312-57436000*0.82</f>
        <v>145722877.4686486</v>
      </c>
      <c r="L312" s="27">
        <v>5113</v>
      </c>
      <c r="M312" s="27">
        <v>5726</v>
      </c>
      <c r="N312" s="27">
        <f>L312/M312</f>
        <v>0.8929444638491093</v>
      </c>
      <c r="O312" s="27">
        <v>24772</v>
      </c>
    </row>
    <row r="313" spans="1:15" ht="15.75">
      <c r="A313" s="11">
        <v>1978</v>
      </c>
      <c r="C313" s="11">
        <v>35</v>
      </c>
      <c r="D313">
        <v>30</v>
      </c>
      <c r="E313">
        <v>0.057296799999999995</v>
      </c>
      <c r="F313">
        <v>436763</v>
      </c>
      <c r="G313" s="1">
        <v>13855100</v>
      </c>
      <c r="H313" s="10">
        <f>D313*F313/G313</f>
        <v>0.945708800369539</v>
      </c>
      <c r="I313" s="27">
        <v>83200</v>
      </c>
      <c r="J313" s="16">
        <f>(I313*D313/H313+O313/N313)/E313/0.242</f>
        <v>192296928.09399348</v>
      </c>
      <c r="K313" s="16">
        <f>J313-57436000*0.82</f>
        <v>145199408.09399348</v>
      </c>
      <c r="L313" s="27">
        <v>5546</v>
      </c>
      <c r="M313" s="27">
        <v>6115</v>
      </c>
      <c r="N313" s="27">
        <f>L313/M313</f>
        <v>0.9069501226492233</v>
      </c>
      <c r="O313" s="27">
        <v>24547</v>
      </c>
    </row>
    <row r="314" spans="1:15" ht="15.75">
      <c r="A314" s="11">
        <v>1979</v>
      </c>
      <c r="C314" s="11">
        <v>36</v>
      </c>
      <c r="D314">
        <v>30</v>
      </c>
      <c r="E314">
        <v>0.0576121</v>
      </c>
      <c r="F314">
        <v>437348</v>
      </c>
      <c r="G314" s="1">
        <v>13880400</v>
      </c>
      <c r="H314" s="10">
        <f>D314*F314/G314</f>
        <v>0.9452494164433302</v>
      </c>
      <c r="I314" s="27">
        <v>84005</v>
      </c>
      <c r="J314" s="16">
        <f>(I314*D314/H314+O314/N314)/E314/0.242</f>
        <v>193210992.52552143</v>
      </c>
      <c r="K314" s="16">
        <f>J314-57436000*0.82</f>
        <v>146113472.52552143</v>
      </c>
      <c r="L314" s="27">
        <v>5298</v>
      </c>
      <c r="M314" s="27">
        <v>5912</v>
      </c>
      <c r="N314" s="27">
        <f>L314/M314</f>
        <v>0.8961434370771313</v>
      </c>
      <c r="O314" s="27">
        <v>24779</v>
      </c>
    </row>
    <row r="315" spans="1:15" ht="15.75">
      <c r="A315" s="11">
        <v>1980</v>
      </c>
      <c r="C315" s="11">
        <v>33</v>
      </c>
      <c r="D315">
        <v>30</v>
      </c>
      <c r="E315">
        <v>0.058535699999999996</v>
      </c>
      <c r="F315">
        <v>438548</v>
      </c>
      <c r="G315" s="1">
        <v>13888500</v>
      </c>
      <c r="H315" s="10">
        <f>D315*F315/G315</f>
        <v>0.9472902041257155</v>
      </c>
      <c r="I315" s="27">
        <v>85380</v>
      </c>
      <c r="J315" s="16">
        <f>(I315*D315/H315+O315/N315)/E315/0.242</f>
        <v>192799767.4477284</v>
      </c>
      <c r="K315" s="16">
        <f>J315-57436000*0.82</f>
        <v>145702247.4477284</v>
      </c>
      <c r="L315" s="27">
        <v>6098</v>
      </c>
      <c r="M315" s="27">
        <v>6604</v>
      </c>
      <c r="N315" s="27">
        <f>L315/M315</f>
        <v>0.9233797698364627</v>
      </c>
      <c r="O315" s="27">
        <v>25124</v>
      </c>
    </row>
    <row r="316" spans="1:15" ht="15.75">
      <c r="A316" s="11">
        <v>1981</v>
      </c>
      <c r="C316" s="11">
        <v>36</v>
      </c>
      <c r="D316">
        <v>30</v>
      </c>
      <c r="E316">
        <v>0.056795899999999996</v>
      </c>
      <c r="F316">
        <v>434803</v>
      </c>
      <c r="G316" s="1">
        <v>13815400</v>
      </c>
      <c r="H316" s="10">
        <f>D316*F316/G316</f>
        <v>0.9441702737524791</v>
      </c>
      <c r="I316" s="27">
        <v>82616</v>
      </c>
      <c r="J316" s="16">
        <f>(I316*D316/H316+O316/N316)/E316/0.242</f>
        <v>192941308.68156353</v>
      </c>
      <c r="K316" s="16">
        <f>J316-57436000*0.82</f>
        <v>145843788.68156353</v>
      </c>
      <c r="L316" s="27">
        <v>5343</v>
      </c>
      <c r="M316" s="27">
        <v>5867</v>
      </c>
      <c r="N316" s="27">
        <f>L316/M316</f>
        <v>0.9106868927901823</v>
      </c>
      <c r="O316" s="27">
        <v>24468</v>
      </c>
    </row>
    <row r="317" spans="1:15" ht="15.75">
      <c r="A317" s="11">
        <v>1982</v>
      </c>
      <c r="C317" s="11">
        <v>38</v>
      </c>
      <c r="D317">
        <v>30</v>
      </c>
      <c r="E317">
        <v>0.0588995</v>
      </c>
      <c r="F317">
        <v>439405</v>
      </c>
      <c r="G317" s="1">
        <v>13926400</v>
      </c>
      <c r="H317" s="10">
        <f>D317*F317/G317</f>
        <v>0.9465583352481618</v>
      </c>
      <c r="I317" s="27">
        <v>85713</v>
      </c>
      <c r="J317" s="16">
        <f>(I317*D317/H317+O317/N317)/E317/0.242</f>
        <v>192563305.8799511</v>
      </c>
      <c r="K317" s="16">
        <f>J317-57436000*0.82</f>
        <v>145465785.8799511</v>
      </c>
      <c r="L317" s="27">
        <v>5215</v>
      </c>
      <c r="M317" s="27">
        <v>5810</v>
      </c>
      <c r="N317" s="27">
        <f>L317/M317</f>
        <v>0.8975903614457831</v>
      </c>
      <c r="O317" s="27">
        <v>25283</v>
      </c>
    </row>
    <row r="318" spans="7:15" ht="15.75">
      <c r="G318" s="5"/>
      <c r="I318" s="27"/>
      <c r="J318" s="16" t="s">
        <v>58</v>
      </c>
      <c r="K318" s="16">
        <f>SUM(K312:K317)/6</f>
        <v>145674596.6829011</v>
      </c>
      <c r="L318" s="27"/>
      <c r="M318" s="27"/>
      <c r="N318" s="27"/>
      <c r="O318" s="27"/>
    </row>
    <row r="319" spans="1:15" ht="15.75">
      <c r="A319" t="s">
        <v>123</v>
      </c>
      <c r="G319" s="5"/>
      <c r="I319" s="27"/>
      <c r="J319" s="16"/>
      <c r="K319" s="16"/>
      <c r="L319" s="27"/>
      <c r="M319" s="27"/>
      <c r="N319" s="27"/>
      <c r="O319" s="27"/>
    </row>
    <row r="320" spans="1:15" ht="15.75">
      <c r="A320" t="s">
        <v>27</v>
      </c>
      <c r="B320" t="s">
        <v>28</v>
      </c>
      <c r="C320" t="s">
        <v>1</v>
      </c>
      <c r="D320" t="s">
        <v>29</v>
      </c>
      <c r="E320" t="s">
        <v>30</v>
      </c>
      <c r="F320" t="s">
        <v>31</v>
      </c>
      <c r="G320" t="s">
        <v>32</v>
      </c>
      <c r="H320" t="s">
        <v>33</v>
      </c>
      <c r="I320" t="s">
        <v>34</v>
      </c>
      <c r="J320" s="1" t="s">
        <v>35</v>
      </c>
      <c r="K320" t="s">
        <v>36</v>
      </c>
      <c r="L320" t="s">
        <v>37</v>
      </c>
      <c r="M320" t="s">
        <v>38</v>
      </c>
      <c r="N320" t="s">
        <v>39</v>
      </c>
      <c r="O320" t="s">
        <v>40</v>
      </c>
    </row>
    <row r="321" spans="1:14" ht="15.75">
      <c r="A321" t="s">
        <v>124</v>
      </c>
      <c r="G321" s="8"/>
      <c r="H321" s="10"/>
      <c r="K321" s="9"/>
      <c r="N321" s="10"/>
    </row>
    <row r="322" spans="1:14" ht="15.75">
      <c r="A322" t="s">
        <v>50</v>
      </c>
      <c r="B322" s="9">
        <f>0.003*0.005/0.0074/0.008</f>
        <v>0.2533783783783784</v>
      </c>
      <c r="E322" t="s">
        <v>125</v>
      </c>
      <c r="G322" s="8"/>
      <c r="H322" s="10" t="s">
        <v>126</v>
      </c>
      <c r="J322" s="1">
        <f>49600000*1.124</f>
        <v>55750400.00000001</v>
      </c>
      <c r="N322" s="10"/>
    </row>
    <row r="323" spans="1:15" ht="15.75">
      <c r="A323" s="27">
        <v>1360</v>
      </c>
      <c r="B323" t="s">
        <v>119</v>
      </c>
      <c r="C323">
        <v>35</v>
      </c>
      <c r="D323">
        <v>12</v>
      </c>
      <c r="E323">
        <v>0.0444245</v>
      </c>
      <c r="F323">
        <v>636036</v>
      </c>
      <c r="G323" s="8">
        <v>7968460</v>
      </c>
      <c r="H323" s="10">
        <f>D323*F323/G323</f>
        <v>0.9578302457438451</v>
      </c>
      <c r="I323">
        <v>162304</v>
      </c>
      <c r="J323" s="1">
        <f>(I323*D323/H323+O323/N323+AB323)/E323/0.253</f>
        <v>181653362.51035982</v>
      </c>
      <c r="K323" s="1">
        <f>J323-55750400*0.82</f>
        <v>135938034.51035982</v>
      </c>
      <c r="L323">
        <v>4142</v>
      </c>
      <c r="M323">
        <v>4707</v>
      </c>
      <c r="N323" s="10">
        <f>L323/M323</f>
        <v>0.8799660080730827</v>
      </c>
      <c r="O323">
        <v>7285</v>
      </c>
    </row>
    <row r="324" spans="1:15" ht="15.75">
      <c r="A324" s="11">
        <v>1353</v>
      </c>
      <c r="C324" s="11">
        <v>22.8</v>
      </c>
      <c r="D324">
        <v>8</v>
      </c>
      <c r="E324">
        <v>0.0290531</v>
      </c>
      <c r="F324">
        <v>641026</v>
      </c>
      <c r="G324" s="8">
        <v>5357860</v>
      </c>
      <c r="H324" s="10">
        <f>D324*F324/G324</f>
        <v>0.9571373645447996</v>
      </c>
      <c r="I324">
        <v>159270</v>
      </c>
      <c r="J324" s="1">
        <f>(I324*D324/H324+O324/N324+AB324)/E324/0.253</f>
        <v>181731126.84245938</v>
      </c>
      <c r="K324" s="1">
        <f>J324-55750400*0.82</f>
        <v>136015798.84245938</v>
      </c>
      <c r="L324">
        <v>4200</v>
      </c>
      <c r="M324">
        <v>4740</v>
      </c>
      <c r="N324" s="10">
        <f>L324/M324</f>
        <v>0.8860759493670886</v>
      </c>
      <c r="O324">
        <v>4061</v>
      </c>
    </row>
    <row r="325" spans="1:15" ht="15.75">
      <c r="A325" s="11">
        <v>1354</v>
      </c>
      <c r="C325" s="11">
        <v>32.3</v>
      </c>
      <c r="D325">
        <v>12</v>
      </c>
      <c r="E325">
        <v>0.040253199999999996</v>
      </c>
      <c r="F325">
        <v>620370</v>
      </c>
      <c r="G325" s="8">
        <v>7828380</v>
      </c>
      <c r="H325" s="10">
        <f>D325*F325/G325</f>
        <v>0.9509553700765676</v>
      </c>
      <c r="I325">
        <v>145703</v>
      </c>
      <c r="J325" s="1">
        <f>(I325*D325/H325+O325/N325+AB325)/E325/0.253</f>
        <v>181270900.93387857</v>
      </c>
      <c r="K325" s="1">
        <f>J325-55750400*0.82</f>
        <v>135555572.93387857</v>
      </c>
      <c r="L325">
        <v>4092</v>
      </c>
      <c r="M325">
        <v>4624</v>
      </c>
      <c r="N325" s="10">
        <f>L325/M325</f>
        <v>0.8849480968858131</v>
      </c>
      <c r="O325">
        <v>6605</v>
      </c>
    </row>
    <row r="326" spans="1:15" ht="15.75">
      <c r="A326" s="11">
        <v>1355</v>
      </c>
      <c r="C326" s="11">
        <v>27.9</v>
      </c>
      <c r="D326">
        <v>12</v>
      </c>
      <c r="E326">
        <v>0.0437411</v>
      </c>
      <c r="F326">
        <v>633102</v>
      </c>
      <c r="G326" s="8">
        <v>7933720</v>
      </c>
      <c r="H326" s="10">
        <f>D326*F326/G326</f>
        <v>0.9575866050226124</v>
      </c>
      <c r="I326">
        <v>159595</v>
      </c>
      <c r="J326" s="1">
        <f>(I326*D326/H326+O326/N326+AB326)/E326/0.253</f>
        <v>181439683.61106274</v>
      </c>
      <c r="K326" s="1">
        <f>J326-55750400*0.82</f>
        <v>135724355.61106274</v>
      </c>
      <c r="L326">
        <v>5247</v>
      </c>
      <c r="M326">
        <v>5922</v>
      </c>
      <c r="N326" s="10">
        <f>L326/M326</f>
        <v>0.8860182370820668</v>
      </c>
      <c r="O326">
        <v>7032</v>
      </c>
    </row>
    <row r="327" spans="1:15" ht="15.75">
      <c r="A327" s="11">
        <v>1370</v>
      </c>
      <c r="C327" s="11">
        <v>38</v>
      </c>
      <c r="D327">
        <v>12</v>
      </c>
      <c r="E327">
        <v>0.044356799999999995</v>
      </c>
      <c r="F327">
        <v>635405</v>
      </c>
      <c r="G327" s="8">
        <v>7976680</v>
      </c>
      <c r="H327" s="10">
        <f>D327*F327/G327</f>
        <v>0.9558939308083062</v>
      </c>
      <c r="I327">
        <v>162600</v>
      </c>
      <c r="J327" s="1">
        <f>(I327*D327/H327+O327/N327+AB327)/E327/0.253</f>
        <v>182664756.78996724</v>
      </c>
      <c r="K327" s="1">
        <f>J327-55750400*0.82</f>
        <v>136949428.78996724</v>
      </c>
      <c r="L327">
        <v>3823</v>
      </c>
      <c r="M327">
        <v>4363</v>
      </c>
      <c r="N327" s="10">
        <f>L327/M327</f>
        <v>0.8762319504927802</v>
      </c>
      <c r="O327">
        <v>7608</v>
      </c>
    </row>
    <row r="328" spans="1:15" ht="15.75">
      <c r="A328" s="11">
        <v>1372</v>
      </c>
      <c r="C328" s="11">
        <v>36</v>
      </c>
      <c r="D328">
        <v>12</v>
      </c>
      <c r="E328">
        <v>0.044461099999999996</v>
      </c>
      <c r="F328">
        <v>635878</v>
      </c>
      <c r="G328" s="8">
        <v>7980480</v>
      </c>
      <c r="H328" s="10">
        <f>D328*F328/G328</f>
        <v>0.9561500060146758</v>
      </c>
      <c r="I328">
        <v>162971</v>
      </c>
      <c r="J328" s="1">
        <f>(I328*D328/H328+O328/N328+AB328)/E328/0.253</f>
        <v>182577162.41817543</v>
      </c>
      <c r="K328" s="1">
        <f>J328-55750400*0.82</f>
        <v>136861834.41817543</v>
      </c>
      <c r="L328">
        <v>4025</v>
      </c>
      <c r="M328">
        <v>4531</v>
      </c>
      <c r="N328" s="10">
        <f>L328/M328</f>
        <v>0.8883248730964467</v>
      </c>
      <c r="O328">
        <v>7469</v>
      </c>
    </row>
    <row r="329" spans="1:15" ht="15.75">
      <c r="A329" s="11">
        <v>1373</v>
      </c>
      <c r="C329" s="11">
        <v>29.5</v>
      </c>
      <c r="D329">
        <v>12</v>
      </c>
      <c r="E329">
        <v>0.0437219</v>
      </c>
      <c r="F329">
        <v>632483</v>
      </c>
      <c r="G329" s="8">
        <v>7939350</v>
      </c>
      <c r="H329" s="10">
        <f>D329*F329/G329</f>
        <v>0.9559719624402502</v>
      </c>
      <c r="I329">
        <v>160197</v>
      </c>
      <c r="J329" s="1">
        <f>(I329*D329/H329+O329/N329+AB329)/E329/0.253</f>
        <v>182521644.44367617</v>
      </c>
      <c r="K329" s="1">
        <f>J329-55750400*0.82</f>
        <v>136806316.44367617</v>
      </c>
      <c r="L329">
        <v>4960</v>
      </c>
      <c r="M329">
        <v>5496</v>
      </c>
      <c r="N329" s="10">
        <f>L329/M329</f>
        <v>0.9024745269286754</v>
      </c>
      <c r="O329">
        <v>7300</v>
      </c>
    </row>
    <row r="330" spans="1:15" ht="15.75">
      <c r="A330" s="11">
        <v>1374</v>
      </c>
      <c r="C330" s="11">
        <v>35</v>
      </c>
      <c r="D330">
        <v>12</v>
      </c>
      <c r="E330">
        <v>0.0441866</v>
      </c>
      <c r="F330">
        <v>634598</v>
      </c>
      <c r="G330" s="8">
        <v>7959420</v>
      </c>
      <c r="H330" s="10">
        <f>D330*F330/G330</f>
        <v>0.9567501149581251</v>
      </c>
      <c r="I330">
        <v>161199</v>
      </c>
      <c r="J330" s="1">
        <f>(I330*D330/H330+O330/N330+AB330)/E330/0.253</f>
        <v>181609332.32795152</v>
      </c>
      <c r="K330" s="1">
        <f>J330-55750400*0.82</f>
        <v>135894004.32795152</v>
      </c>
      <c r="L330">
        <v>4140</v>
      </c>
      <c r="M330">
        <v>4671</v>
      </c>
      <c r="N330" s="10">
        <f>L330/M330</f>
        <v>0.8863198458574181</v>
      </c>
      <c r="O330">
        <v>7460</v>
      </c>
    </row>
    <row r="331" spans="1:15" ht="15.75">
      <c r="A331" s="11">
        <v>1375</v>
      </c>
      <c r="C331" s="11">
        <v>36</v>
      </c>
      <c r="D331">
        <v>12</v>
      </c>
      <c r="E331">
        <v>0.0442536</v>
      </c>
      <c r="F331">
        <v>634781</v>
      </c>
      <c r="G331" s="8">
        <v>7964700</v>
      </c>
      <c r="H331" s="10">
        <f>D331*F331/G331</f>
        <v>0.9563915778372066</v>
      </c>
      <c r="I331">
        <v>161614</v>
      </c>
      <c r="J331" s="1">
        <f>(I331*D331/H331+O331/N331+AB331)/E331/0.253</f>
        <v>181850175.81795767</v>
      </c>
      <c r="K331" s="1">
        <f>J331-55750400*0.82</f>
        <v>136134847.81795767</v>
      </c>
      <c r="L331">
        <v>3983</v>
      </c>
      <c r="M331">
        <v>4519</v>
      </c>
      <c r="N331" s="10">
        <f>L331/M331</f>
        <v>0.8813896879840672</v>
      </c>
      <c r="O331">
        <v>7251</v>
      </c>
    </row>
    <row r="332" spans="1:14" ht="15.75">
      <c r="A332" s="11"/>
      <c r="C332" s="11"/>
      <c r="G332" s="8"/>
      <c r="H332" s="10"/>
      <c r="J332" s="1" t="s">
        <v>58</v>
      </c>
      <c r="K332" s="1">
        <f>SUM(K323:K331)/9</f>
        <v>136208910.41060984</v>
      </c>
      <c r="N332" s="10"/>
    </row>
    <row r="333" spans="1:15" ht="15.75">
      <c r="A333" t="s">
        <v>27</v>
      </c>
      <c r="B333" t="s">
        <v>28</v>
      </c>
      <c r="C333" t="s">
        <v>1</v>
      </c>
      <c r="D333" t="s">
        <v>29</v>
      </c>
      <c r="E333" t="s">
        <v>30</v>
      </c>
      <c r="F333" t="s">
        <v>31</v>
      </c>
      <c r="G333" t="s">
        <v>32</v>
      </c>
      <c r="H333" t="s">
        <v>33</v>
      </c>
      <c r="I333" t="s">
        <v>34</v>
      </c>
      <c r="J333" s="1" t="s">
        <v>35</v>
      </c>
      <c r="K333" t="s">
        <v>36</v>
      </c>
      <c r="L333" t="s">
        <v>37</v>
      </c>
      <c r="M333" t="s">
        <v>38</v>
      </c>
      <c r="N333" t="s">
        <v>39</v>
      </c>
      <c r="O333" t="s">
        <v>40</v>
      </c>
    </row>
    <row r="334" spans="1:14" ht="15.75">
      <c r="A334" t="s">
        <v>127</v>
      </c>
      <c r="G334" s="8"/>
      <c r="H334" s="10"/>
      <c r="K334" s="1"/>
      <c r="N334" s="10"/>
    </row>
    <row r="335" spans="1:14" ht="15.75">
      <c r="A335" t="s">
        <v>50</v>
      </c>
      <c r="B335" s="9">
        <f>0.004*0.003/0.009/0.0051</f>
        <v>0.261437908496732</v>
      </c>
      <c r="G335" s="8"/>
      <c r="H335" s="10"/>
      <c r="J335" s="16" t="s">
        <v>118</v>
      </c>
      <c r="K335" s="16">
        <v>57436000</v>
      </c>
      <c r="L335" t="s">
        <v>121</v>
      </c>
      <c r="N335" s="10"/>
    </row>
    <row r="336" spans="1:15" ht="15.75">
      <c r="A336" s="27">
        <v>1960</v>
      </c>
      <c r="B336" t="s">
        <v>128</v>
      </c>
      <c r="C336">
        <v>38</v>
      </c>
      <c r="D336">
        <v>30</v>
      </c>
      <c r="E336">
        <v>0.0548207</v>
      </c>
      <c r="F336">
        <v>383441</v>
      </c>
      <c r="G336" s="8">
        <v>12228600</v>
      </c>
      <c r="H336" s="10">
        <f>D336*F336/G336</f>
        <v>0.9406824984053775</v>
      </c>
      <c r="I336">
        <v>88317</v>
      </c>
      <c r="J336" s="1">
        <f>(I336*D336/H336+O336/N336)/E336/0.261</f>
        <v>197535162.681964</v>
      </c>
      <c r="K336" s="1">
        <f>J336-57436000*0.82</f>
        <v>150437642.681964</v>
      </c>
      <c r="L336">
        <v>4876</v>
      </c>
      <c r="M336">
        <v>5431</v>
      </c>
      <c r="N336" s="10">
        <f>L336/M336</f>
        <v>0.897808874976984</v>
      </c>
      <c r="O336">
        <v>8790</v>
      </c>
    </row>
    <row r="337" spans="1:15" ht="15.75">
      <c r="A337" s="11">
        <v>1956</v>
      </c>
      <c r="B337" t="s">
        <v>128</v>
      </c>
      <c r="C337" s="11">
        <v>31</v>
      </c>
      <c r="D337">
        <v>30</v>
      </c>
      <c r="E337">
        <v>0.055344</v>
      </c>
      <c r="F337">
        <v>384851</v>
      </c>
      <c r="G337" s="8">
        <v>12237000</v>
      </c>
      <c r="H337" s="10">
        <f>D337*F337/G337</f>
        <v>0.9434935033096347</v>
      </c>
      <c r="I337">
        <v>90225</v>
      </c>
      <c r="J337" s="1">
        <f>(I337*D337/H337+O337/N337)/E337/0.261</f>
        <v>199255884.42699832</v>
      </c>
      <c r="K337" s="1">
        <f>J337-57436000*0.82</f>
        <v>152158364.42699832</v>
      </c>
      <c r="L337">
        <v>6086</v>
      </c>
      <c r="M337">
        <v>6623</v>
      </c>
      <c r="N337" s="10">
        <f>L337/M337</f>
        <v>0.918918918918919</v>
      </c>
      <c r="O337">
        <v>8591</v>
      </c>
    </row>
    <row r="338" spans="1:15" ht="15.75">
      <c r="A338" s="11">
        <v>1957</v>
      </c>
      <c r="B338" t="s">
        <v>128</v>
      </c>
      <c r="C338" s="11">
        <v>36</v>
      </c>
      <c r="D338">
        <v>30</v>
      </c>
      <c r="E338">
        <v>0.0542316</v>
      </c>
      <c r="F338">
        <v>381788</v>
      </c>
      <c r="G338" s="8">
        <v>12179900</v>
      </c>
      <c r="H338" s="10">
        <f>D338*F338/G338</f>
        <v>0.9403722526457524</v>
      </c>
      <c r="I338">
        <v>87989</v>
      </c>
      <c r="J338" s="1">
        <f>(I338*D338/H338+O338/N338)/E338/0.261</f>
        <v>198979005.34418008</v>
      </c>
      <c r="K338" s="1">
        <f>J338-57436000*0.82</f>
        <v>151881485.34418008</v>
      </c>
      <c r="L338">
        <v>5064</v>
      </c>
      <c r="M338">
        <v>5618</v>
      </c>
      <c r="N338" s="10">
        <f>L338/M338</f>
        <v>0.9013883944464223</v>
      </c>
      <c r="O338">
        <v>8464</v>
      </c>
    </row>
    <row r="339" spans="1:15" ht="15.75">
      <c r="A339" s="11">
        <v>1958</v>
      </c>
      <c r="B339" t="s">
        <v>128</v>
      </c>
      <c r="C339" s="11">
        <v>36</v>
      </c>
      <c r="D339">
        <v>30</v>
      </c>
      <c r="E339">
        <v>0.054598299999999995</v>
      </c>
      <c r="F339">
        <v>382900</v>
      </c>
      <c r="G339" s="8">
        <v>12206400</v>
      </c>
      <c r="H339" s="10">
        <f>D339*F339/G339</f>
        <v>0.9410637042862761</v>
      </c>
      <c r="I339">
        <v>89032</v>
      </c>
      <c r="J339" s="1">
        <f>(I339*D339/H339+O339/N339)/E339/0.261</f>
        <v>199835399.0160151</v>
      </c>
      <c r="K339" s="1">
        <f>J339-57436000*0.82</f>
        <v>152737879.0160151</v>
      </c>
      <c r="L339">
        <v>5064</v>
      </c>
      <c r="M339">
        <v>5602</v>
      </c>
      <c r="N339" s="10">
        <f>L339/M339</f>
        <v>0.9039628704034274</v>
      </c>
      <c r="O339">
        <v>8543</v>
      </c>
    </row>
    <row r="340" spans="1:15" ht="15.75">
      <c r="A340" s="11">
        <v>1973</v>
      </c>
      <c r="B340" t="s">
        <v>128</v>
      </c>
      <c r="C340" s="11">
        <v>36</v>
      </c>
      <c r="D340">
        <v>30</v>
      </c>
      <c r="E340">
        <v>0.046939299999999996</v>
      </c>
      <c r="F340">
        <v>361915</v>
      </c>
      <c r="G340" s="8">
        <v>11734500</v>
      </c>
      <c r="H340" s="10">
        <f>D340*F340/G340</f>
        <v>0.9252588521027739</v>
      </c>
      <c r="I340">
        <v>76459</v>
      </c>
      <c r="J340" s="1">
        <f>(I340*D340/H340+O340/N340)/E340/0.261</f>
        <v>203075278.45278186</v>
      </c>
      <c r="K340" s="1">
        <f>J340-57436000*0.82</f>
        <v>155977758.45278186</v>
      </c>
      <c r="L340">
        <v>4301</v>
      </c>
      <c r="M340">
        <v>4871</v>
      </c>
      <c r="N340" s="10">
        <f>L340/M340</f>
        <v>0.8829809074112092</v>
      </c>
      <c r="O340">
        <v>7814</v>
      </c>
    </row>
    <row r="341" spans="1:15" ht="15.75">
      <c r="A341" s="11">
        <v>1974</v>
      </c>
      <c r="B341" t="s">
        <v>128</v>
      </c>
      <c r="C341" s="11">
        <v>37</v>
      </c>
      <c r="D341">
        <v>30</v>
      </c>
      <c r="E341">
        <v>0.0472331</v>
      </c>
      <c r="F341">
        <v>361942</v>
      </c>
      <c r="G341" s="8">
        <v>11732800</v>
      </c>
      <c r="H341" s="10">
        <f>D341*F341/G341</f>
        <v>0.925461952816037</v>
      </c>
      <c r="I341">
        <v>76480</v>
      </c>
      <c r="J341" s="1">
        <f>(I341*D341/H341+O341/N341)/E341/0.261</f>
        <v>201836710.51816085</v>
      </c>
      <c r="K341" s="1">
        <f>J341-57436000*0.82</f>
        <v>154739190.51816085</v>
      </c>
      <c r="L341">
        <v>4155</v>
      </c>
      <c r="M341">
        <v>4701</v>
      </c>
      <c r="N341" s="10">
        <f>L341/M341</f>
        <v>0.8838544990427568</v>
      </c>
      <c r="O341">
        <v>7969</v>
      </c>
    </row>
    <row r="342" spans="1:15" ht="15.75">
      <c r="A342" s="11">
        <v>1975</v>
      </c>
      <c r="B342" t="s">
        <v>128</v>
      </c>
      <c r="C342" s="11">
        <v>36</v>
      </c>
      <c r="D342">
        <v>30</v>
      </c>
      <c r="E342">
        <v>0.047957599999999996</v>
      </c>
      <c r="F342">
        <v>363819</v>
      </c>
      <c r="G342" s="8">
        <v>11765900</v>
      </c>
      <c r="H342" s="10">
        <f>D342*F342/G342</f>
        <v>0.9276442941041484</v>
      </c>
      <c r="I342">
        <v>77635</v>
      </c>
      <c r="J342" s="1">
        <f>(I342*D342/H342+O342/N342)/E342/0.261</f>
        <v>201307027.7843556</v>
      </c>
      <c r="K342" s="1">
        <f>J342-57436000*0.82</f>
        <v>154209507.7843556</v>
      </c>
      <c r="L342">
        <v>4471</v>
      </c>
      <c r="M342">
        <v>5029</v>
      </c>
      <c r="N342" s="10">
        <f>L342/M342</f>
        <v>0.8890435474249354</v>
      </c>
      <c r="O342">
        <v>8030</v>
      </c>
    </row>
    <row r="343" spans="1:15" ht="15.75">
      <c r="A343" s="11">
        <v>1976</v>
      </c>
      <c r="B343" t="s">
        <v>128</v>
      </c>
      <c r="C343" s="11">
        <v>37</v>
      </c>
      <c r="D343">
        <v>30</v>
      </c>
      <c r="E343">
        <v>0.0485646</v>
      </c>
      <c r="F343">
        <v>365446</v>
      </c>
      <c r="G343" s="8">
        <v>11809800</v>
      </c>
      <c r="H343" s="10">
        <f>D343*F343/G343</f>
        <v>0.9283290148859422</v>
      </c>
      <c r="I343">
        <v>78941</v>
      </c>
      <c r="J343" s="1">
        <f>(I343*D343/H343+O343/N343)/E343/0.261</f>
        <v>201984560.69254386</v>
      </c>
      <c r="K343" s="1">
        <f>J343-57436000*0.82</f>
        <v>154887040.69254386</v>
      </c>
      <c r="L343">
        <v>4263</v>
      </c>
      <c r="M343">
        <v>4835</v>
      </c>
      <c r="N343" s="10">
        <f>L343/M343</f>
        <v>0.8816959669079628</v>
      </c>
      <c r="O343">
        <v>8076</v>
      </c>
    </row>
    <row r="344" spans="10:11" ht="15.75">
      <c r="J344" t="s">
        <v>58</v>
      </c>
      <c r="K344" s="1">
        <f>SUM(K336:K343)/8</f>
        <v>153378608.61462495</v>
      </c>
    </row>
    <row r="345" spans="1:10" ht="15.75">
      <c r="A345" t="s">
        <v>129</v>
      </c>
      <c r="J345"/>
    </row>
    <row r="346" spans="1:12" ht="15.75">
      <c r="A346" t="s">
        <v>74</v>
      </c>
      <c r="B346" s="9">
        <f>0.003*0.003/0.0085/0.0051</f>
        <v>0.2076124567474048</v>
      </c>
      <c r="H346" s="16" t="s">
        <v>118</v>
      </c>
      <c r="I346" s="16">
        <v>57436000</v>
      </c>
      <c r="J346" s="27" t="s">
        <v>121</v>
      </c>
      <c r="K346" s="27"/>
      <c r="L346" s="27"/>
    </row>
    <row r="347" spans="1:15" ht="15.75">
      <c r="A347" t="s">
        <v>27</v>
      </c>
      <c r="B347" t="s">
        <v>28</v>
      </c>
      <c r="C347" t="s">
        <v>1</v>
      </c>
      <c r="D347" t="s">
        <v>29</v>
      </c>
      <c r="E347" t="s">
        <v>30</v>
      </c>
      <c r="F347" t="s">
        <v>31</v>
      </c>
      <c r="G347" t="s">
        <v>32</v>
      </c>
      <c r="H347" t="s">
        <v>33</v>
      </c>
      <c r="I347" t="s">
        <v>34</v>
      </c>
      <c r="J347" s="1" t="s">
        <v>35</v>
      </c>
      <c r="K347" t="s">
        <v>36</v>
      </c>
      <c r="L347" t="s">
        <v>37</v>
      </c>
      <c r="M347" t="s">
        <v>38</v>
      </c>
      <c r="N347" t="s">
        <v>39</v>
      </c>
      <c r="O347" t="s">
        <v>40</v>
      </c>
    </row>
    <row r="348" spans="1:15" ht="15.75">
      <c r="A348" s="11">
        <v>1985</v>
      </c>
      <c r="B348" t="s">
        <v>119</v>
      </c>
      <c r="C348" s="11">
        <v>30</v>
      </c>
      <c r="D348">
        <v>30</v>
      </c>
      <c r="E348">
        <v>0.034809099999999996</v>
      </c>
      <c r="F348">
        <v>252804</v>
      </c>
      <c r="G348" s="8">
        <v>8653920</v>
      </c>
      <c r="H348" s="10">
        <f>D348*F348/G348</f>
        <v>0.8763797215597093</v>
      </c>
      <c r="I348">
        <v>40904</v>
      </c>
      <c r="J348" s="1">
        <f>(I348*D348/H348+O348/N348)/E348/0.208</f>
        <v>195247586.74286088</v>
      </c>
      <c r="K348" s="1">
        <f>J348-57436000*0.82</f>
        <v>148150066.74286088</v>
      </c>
      <c r="L348">
        <v>3799</v>
      </c>
      <c r="M348">
        <v>4350</v>
      </c>
      <c r="N348" s="10">
        <f>L348/M348</f>
        <v>0.8733333333333333</v>
      </c>
      <c r="O348">
        <v>11733</v>
      </c>
    </row>
    <row r="349" spans="1:15" ht="15.75">
      <c r="A349" s="11">
        <v>1986</v>
      </c>
      <c r="B349" t="s">
        <v>119</v>
      </c>
      <c r="C349" s="11">
        <v>37</v>
      </c>
      <c r="D349">
        <v>30</v>
      </c>
      <c r="E349">
        <v>0.0315776</v>
      </c>
      <c r="F349">
        <v>237570</v>
      </c>
      <c r="G349" s="8">
        <v>8367260</v>
      </c>
      <c r="H349" s="10">
        <f>D349*F349/G349</f>
        <v>0.851784216099416</v>
      </c>
      <c r="I349">
        <v>36432</v>
      </c>
      <c r="J349" s="1">
        <f>(I349*D349/H349+O349/N349)/E349/0.208</f>
        <v>197592681.46396264</v>
      </c>
      <c r="K349" s="1">
        <f>J349-57436000*0.82</f>
        <v>150495161.46396264</v>
      </c>
      <c r="L349">
        <v>2584</v>
      </c>
      <c r="M349">
        <v>3161</v>
      </c>
      <c r="N349" s="10">
        <f>L349/M349</f>
        <v>0.817462828218918</v>
      </c>
      <c r="O349">
        <v>11996</v>
      </c>
    </row>
    <row r="350" spans="1:15" ht="15.75">
      <c r="A350" s="11">
        <v>1987</v>
      </c>
      <c r="B350" t="s">
        <v>119</v>
      </c>
      <c r="C350" s="11">
        <v>35</v>
      </c>
      <c r="D350">
        <v>30</v>
      </c>
      <c r="E350">
        <v>0.023347999999999997</v>
      </c>
      <c r="F350">
        <v>171852</v>
      </c>
      <c r="G350" s="8">
        <v>5823900</v>
      </c>
      <c r="H350" s="10">
        <f>D350*F350/G350</f>
        <v>0.8852418482460207</v>
      </c>
      <c r="I350">
        <v>27481</v>
      </c>
      <c r="J350" s="1">
        <f>(I350*D350/H350+O350/N350)/E350/0.208</f>
        <v>193844282.77626106</v>
      </c>
      <c r="K350" s="1">
        <f>J350-57436000*0.82</f>
        <v>146746762.77626106</v>
      </c>
      <c r="L350">
        <v>2130</v>
      </c>
      <c r="M350">
        <v>2517</v>
      </c>
      <c r="N350" s="10">
        <f>L350/M350</f>
        <v>0.8462455303933254</v>
      </c>
      <c r="O350">
        <v>8528</v>
      </c>
    </row>
    <row r="351" spans="1:15" ht="15.75">
      <c r="A351" s="11">
        <v>1993</v>
      </c>
      <c r="B351" t="s">
        <v>119</v>
      </c>
      <c r="C351" s="11">
        <v>36</v>
      </c>
      <c r="D351">
        <v>30</v>
      </c>
      <c r="E351">
        <v>0.047711199999999995</v>
      </c>
      <c r="F351">
        <v>378306</v>
      </c>
      <c r="G351" s="8">
        <v>12348400</v>
      </c>
      <c r="H351" s="10">
        <f>D351*F351/G351</f>
        <v>0.9190810145443944</v>
      </c>
      <c r="I351">
        <v>58404</v>
      </c>
      <c r="J351" s="1">
        <f>(I351*D351/H351+O351/N351)/E351/0.208</f>
        <v>194183250.38651016</v>
      </c>
      <c r="K351" s="1">
        <f>J351-57436000*0.82</f>
        <v>147085730.38651016</v>
      </c>
      <c r="L351">
        <v>4370</v>
      </c>
      <c r="M351">
        <v>4888</v>
      </c>
      <c r="N351" s="10">
        <f>L351/M351</f>
        <v>0.894026186579378</v>
      </c>
      <c r="O351">
        <v>18487</v>
      </c>
    </row>
    <row r="352" spans="1:15" ht="15.75">
      <c r="A352" s="11">
        <v>1994</v>
      </c>
      <c r="B352" t="s">
        <v>119</v>
      </c>
      <c r="C352" s="11">
        <v>40</v>
      </c>
      <c r="D352">
        <v>30</v>
      </c>
      <c r="E352">
        <v>0.0361333</v>
      </c>
      <c r="F352">
        <v>282952</v>
      </c>
      <c r="G352" s="8">
        <v>9212560</v>
      </c>
      <c r="H352" s="10">
        <f>D352*F352/G352</f>
        <v>0.9214116380246099</v>
      </c>
      <c r="I352">
        <v>44493</v>
      </c>
      <c r="J352" s="1">
        <f>(I352*D352/H352+O352/N352)/E352/0.208</f>
        <v>194942222.6084698</v>
      </c>
      <c r="K352" s="1">
        <f>J352-57436000*0.82</f>
        <v>147844702.6084698</v>
      </c>
      <c r="L352">
        <v>2910</v>
      </c>
      <c r="M352">
        <v>3383</v>
      </c>
      <c r="N352" s="10">
        <f>L352/M352</f>
        <v>0.8601832692876146</v>
      </c>
      <c r="O352">
        <v>14190</v>
      </c>
    </row>
    <row r="353" spans="1:15" ht="15.75">
      <c r="A353" s="11">
        <v>1995</v>
      </c>
      <c r="B353" t="s">
        <v>119</v>
      </c>
      <c r="C353" s="11">
        <v>36</v>
      </c>
      <c r="D353">
        <v>30</v>
      </c>
      <c r="E353">
        <v>0.0488643</v>
      </c>
      <c r="F353">
        <v>380925</v>
      </c>
      <c r="G353" s="8">
        <v>12351600</v>
      </c>
      <c r="H353" s="10">
        <f>D353*F353/G353</f>
        <v>0.9252040221509764</v>
      </c>
      <c r="I353">
        <v>59980</v>
      </c>
      <c r="J353" s="1">
        <f>(I353*D353/H353+O353/N353)/E353/0.208</f>
        <v>193417842.65215343</v>
      </c>
      <c r="K353" s="1">
        <f>J353-57436000*0.82</f>
        <v>146320322.65215343</v>
      </c>
      <c r="L353">
        <v>4461</v>
      </c>
      <c r="M353">
        <v>5067</v>
      </c>
      <c r="N353" s="10">
        <f>L353/M353</f>
        <v>0.8804026050917703</v>
      </c>
      <c r="O353">
        <v>18477</v>
      </c>
    </row>
    <row r="354" spans="1:15" ht="15.75">
      <c r="A354" s="11">
        <v>2002</v>
      </c>
      <c r="B354" t="s">
        <v>119</v>
      </c>
      <c r="C354" s="11">
        <v>36</v>
      </c>
      <c r="D354">
        <v>30</v>
      </c>
      <c r="E354">
        <v>0.047385</v>
      </c>
      <c r="F354">
        <v>377012</v>
      </c>
      <c r="G354" s="8">
        <v>12297400</v>
      </c>
      <c r="H354" s="10">
        <f>D354*F354/G354</f>
        <v>0.9197358791289215</v>
      </c>
      <c r="I354">
        <v>58396</v>
      </c>
      <c r="J354" s="1">
        <f>(I354*D354/H354+O354/N354)/E354/0.208</f>
        <v>195365225.33816263</v>
      </c>
      <c r="K354" s="1">
        <f>J354-57436000*0.82</f>
        <v>148267705.33816263</v>
      </c>
      <c r="L354">
        <v>4276</v>
      </c>
      <c r="M354">
        <v>4890</v>
      </c>
      <c r="N354" s="10">
        <f>L354/M354</f>
        <v>0.874437627811861</v>
      </c>
      <c r="O354">
        <v>18163</v>
      </c>
    </row>
    <row r="355" spans="1:15" ht="15.75">
      <c r="A355" s="11">
        <v>2003</v>
      </c>
      <c r="B355" t="s">
        <v>119</v>
      </c>
      <c r="C355" s="11">
        <v>35</v>
      </c>
      <c r="D355">
        <v>30</v>
      </c>
      <c r="E355">
        <v>0.047804099999999995</v>
      </c>
      <c r="F355">
        <v>378824</v>
      </c>
      <c r="G355" s="8">
        <v>12341900</v>
      </c>
      <c r="H355" s="10">
        <f>D355*F355/G355</f>
        <v>0.920824184282809</v>
      </c>
      <c r="I355">
        <v>58349</v>
      </c>
      <c r="J355" s="1">
        <f>(I355*D355/H355+O355/N355)/E355/0.208</f>
        <v>193222132.07646203</v>
      </c>
      <c r="K355" s="1">
        <f>J355-57436000*0.82</f>
        <v>146124612.07646203</v>
      </c>
      <c r="L355">
        <v>4543</v>
      </c>
      <c r="M355">
        <v>5088</v>
      </c>
      <c r="N355" s="10">
        <f>L355/M355</f>
        <v>0.8928852201257862</v>
      </c>
      <c r="O355">
        <v>18103</v>
      </c>
    </row>
    <row r="356" spans="1:15" ht="15.75">
      <c r="A356" s="11">
        <v>2004</v>
      </c>
      <c r="B356" t="s">
        <v>119</v>
      </c>
      <c r="C356" s="11">
        <v>36</v>
      </c>
      <c r="D356">
        <v>30</v>
      </c>
      <c r="E356">
        <v>0.0464923</v>
      </c>
      <c r="F356">
        <v>374655</v>
      </c>
      <c r="G356" s="8">
        <v>12239100</v>
      </c>
      <c r="H356" s="10">
        <f>D356*F356/G356</f>
        <v>0.9183395837929259</v>
      </c>
      <c r="I356">
        <v>57264</v>
      </c>
      <c r="J356" s="1">
        <f>(I356*D356/H356+O356/N356)/E356/0.208</f>
        <v>195583316.78874108</v>
      </c>
      <c r="K356" s="1">
        <f>J356-57436000*0.82</f>
        <v>148485796.78874108</v>
      </c>
      <c r="L356">
        <v>4220</v>
      </c>
      <c r="M356">
        <v>4794</v>
      </c>
      <c r="N356" s="10">
        <f>L356/M356</f>
        <v>0.8802670004171882</v>
      </c>
      <c r="O356">
        <v>18211</v>
      </c>
    </row>
    <row r="357" spans="10:11" ht="15.75">
      <c r="J357" t="s">
        <v>58</v>
      </c>
      <c r="K357" s="1">
        <f>SUM(K348:K356)/9</f>
        <v>147724540.09262043</v>
      </c>
    </row>
    <row r="358" spans="1:10" ht="15.75">
      <c r="A358" t="s">
        <v>130</v>
      </c>
      <c r="J358"/>
    </row>
    <row r="359" spans="1:10" ht="15.75">
      <c r="A359" t="s">
        <v>50</v>
      </c>
      <c r="B359" s="9">
        <f>0.005*0.003/0.0075/0.0077</f>
        <v>0.2597402597402597</v>
      </c>
      <c r="E359" t="s">
        <v>131</v>
      </c>
      <c r="I359" s="10">
        <f>48480000*1.124</f>
        <v>54491520.00000001</v>
      </c>
      <c r="J359"/>
    </row>
    <row r="360" spans="1:15" ht="15.75">
      <c r="A360" t="s">
        <v>27</v>
      </c>
      <c r="B360" t="s">
        <v>28</v>
      </c>
      <c r="C360" t="s">
        <v>1</v>
      </c>
      <c r="D360" t="s">
        <v>29</v>
      </c>
      <c r="E360" t="s">
        <v>30</v>
      </c>
      <c r="F360" t="s">
        <v>31</v>
      </c>
      <c r="G360" t="s">
        <v>32</v>
      </c>
      <c r="H360" t="s">
        <v>33</v>
      </c>
      <c r="I360" t="s">
        <v>34</v>
      </c>
      <c r="J360" s="1" t="s">
        <v>35</v>
      </c>
      <c r="K360" t="s">
        <v>36</v>
      </c>
      <c r="L360" t="s">
        <v>37</v>
      </c>
      <c r="M360" t="s">
        <v>38</v>
      </c>
      <c r="N360" t="s">
        <v>39</v>
      </c>
      <c r="O360" t="s">
        <v>40</v>
      </c>
    </row>
    <row r="361" spans="1:15" ht="15.75">
      <c r="A361" s="11">
        <v>1422</v>
      </c>
      <c r="B361" t="s">
        <v>119</v>
      </c>
      <c r="C361" s="11">
        <v>36</v>
      </c>
      <c r="D361">
        <v>20</v>
      </c>
      <c r="E361">
        <v>0.0670146</v>
      </c>
      <c r="F361">
        <v>585621</v>
      </c>
      <c r="G361" s="8">
        <v>12094200</v>
      </c>
      <c r="H361" s="10">
        <f>D361*F361/G361</f>
        <v>0.9684328025003721</v>
      </c>
      <c r="I361">
        <v>147972</v>
      </c>
      <c r="J361" s="10">
        <f>(I361*D361/H361+O361/N361)/E361/0.26</f>
        <v>175626280.90423465</v>
      </c>
      <c r="K361" s="1">
        <f>J361-54490000*0.82</f>
        <v>130944480.90423465</v>
      </c>
      <c r="L361">
        <v>6324</v>
      </c>
      <c r="M361">
        <v>6848</v>
      </c>
      <c r="N361" s="10">
        <f>L361/M361</f>
        <v>0.923481308411215</v>
      </c>
      <c r="O361">
        <v>3851</v>
      </c>
    </row>
    <row r="362" spans="1:15" ht="15.75">
      <c r="A362" s="11">
        <v>1423</v>
      </c>
      <c r="B362" t="s">
        <v>119</v>
      </c>
      <c r="C362" s="11">
        <v>35.5</v>
      </c>
      <c r="D362">
        <v>20</v>
      </c>
      <c r="E362">
        <v>0.0666884</v>
      </c>
      <c r="F362">
        <v>585129</v>
      </c>
      <c r="G362" s="8">
        <v>12088000</v>
      </c>
      <c r="H362" s="10">
        <f>D362*F362/G362</f>
        <v>0.968115486432826</v>
      </c>
      <c r="I362">
        <v>147848</v>
      </c>
      <c r="J362" s="10">
        <f>(I362*D362/H362+O362/N362)/E362/0.26</f>
        <v>176396288.01618165</v>
      </c>
      <c r="K362" s="1">
        <f>J362-54490000*0.82</f>
        <v>131714488.01618165</v>
      </c>
      <c r="L362">
        <v>6381</v>
      </c>
      <c r="M362">
        <v>6938</v>
      </c>
      <c r="N362" s="10">
        <f>L362/M362</f>
        <v>0.9197174978379936</v>
      </c>
      <c r="O362">
        <v>3850</v>
      </c>
    </row>
    <row r="363" spans="1:15" ht="15.75">
      <c r="A363" s="11">
        <v>1424</v>
      </c>
      <c r="B363" t="s">
        <v>119</v>
      </c>
      <c r="C363" s="11">
        <v>36</v>
      </c>
      <c r="D363">
        <v>20</v>
      </c>
      <c r="E363">
        <v>0.0667392</v>
      </c>
      <c r="F363">
        <v>584845</v>
      </c>
      <c r="G363" s="8">
        <v>12079800</v>
      </c>
      <c r="H363" s="10">
        <f>D363*F363/G363</f>
        <v>0.9683024553386645</v>
      </c>
      <c r="I363">
        <v>147664</v>
      </c>
      <c r="J363" s="10">
        <f>(I363*D363/H363+O363/N363)/E363/0.26</f>
        <v>176014730.58622393</v>
      </c>
      <c r="K363" s="1">
        <f>J363-54490000*0.82</f>
        <v>131332930.58622393</v>
      </c>
      <c r="L363">
        <v>6330</v>
      </c>
      <c r="M363">
        <v>6876</v>
      </c>
      <c r="N363" s="10">
        <f>L363/M363</f>
        <v>0.9205933682373473</v>
      </c>
      <c r="O363">
        <v>3945</v>
      </c>
    </row>
    <row r="364" spans="1:15" ht="15.75">
      <c r="A364" s="11">
        <v>1425</v>
      </c>
      <c r="B364" t="s">
        <v>119</v>
      </c>
      <c r="C364" s="11">
        <v>37</v>
      </c>
      <c r="D364">
        <v>20</v>
      </c>
      <c r="E364">
        <v>0.0668487</v>
      </c>
      <c r="F364">
        <v>585056</v>
      </c>
      <c r="G364" s="8">
        <v>12087700</v>
      </c>
      <c r="H364" s="10">
        <f>D364*F364/G364</f>
        <v>0.968018729783168</v>
      </c>
      <c r="I364">
        <v>146707</v>
      </c>
      <c r="J364" s="10">
        <f>(I364*D364/H364+O364/N364)/E364/0.26</f>
        <v>174643973.39559364</v>
      </c>
      <c r="K364" s="1">
        <f>J364-54490000*0.82</f>
        <v>129962173.39559364</v>
      </c>
      <c r="L364">
        <v>6123</v>
      </c>
      <c r="M364">
        <v>6664</v>
      </c>
      <c r="N364" s="10">
        <f>L364/M364</f>
        <v>0.9188175270108043</v>
      </c>
      <c r="O364">
        <v>3997</v>
      </c>
    </row>
    <row r="365" spans="1:15" ht="15.75">
      <c r="A365" s="11">
        <v>1426</v>
      </c>
      <c r="B365" t="s">
        <v>119</v>
      </c>
      <c r="C365" s="11">
        <v>36</v>
      </c>
      <c r="D365">
        <v>20</v>
      </c>
      <c r="E365">
        <v>0.066743</v>
      </c>
      <c r="F365">
        <v>585181</v>
      </c>
      <c r="G365" s="8">
        <v>12082500</v>
      </c>
      <c r="H365" s="10">
        <f>D365*F365/G365</f>
        <v>0.9686422511897372</v>
      </c>
      <c r="I365">
        <v>147172</v>
      </c>
      <c r="J365" s="10">
        <f>(I365*D365/H365+O365/N365)/E365/0.26</f>
        <v>175355996.07374153</v>
      </c>
      <c r="K365" s="1">
        <f>J365-54490000*0.82</f>
        <v>130674196.07374153</v>
      </c>
      <c r="L365">
        <v>6291</v>
      </c>
      <c r="M365">
        <v>6805</v>
      </c>
      <c r="N365" s="10">
        <f>L365/M365</f>
        <v>0.9244673034533432</v>
      </c>
      <c r="O365">
        <v>3935</v>
      </c>
    </row>
    <row r="366" spans="1:15" ht="15.75">
      <c r="A366" s="11">
        <v>1427</v>
      </c>
      <c r="B366" t="s">
        <v>119</v>
      </c>
      <c r="C366" s="11">
        <v>37</v>
      </c>
      <c r="D366">
        <v>20</v>
      </c>
      <c r="E366">
        <v>0.0668216</v>
      </c>
      <c r="F366">
        <v>585555</v>
      </c>
      <c r="G366" s="8">
        <v>12093500</v>
      </c>
      <c r="H366" s="10">
        <f>D366*F366/G366</f>
        <v>0.9683797081076612</v>
      </c>
      <c r="I366">
        <v>147321</v>
      </c>
      <c r="J366" s="10">
        <f>(I366*D366/H366+O366/N366)/E366/0.26</f>
        <v>175372185.708691</v>
      </c>
      <c r="K366" s="1">
        <f>J366-54490000*0.82</f>
        <v>130690385.708691</v>
      </c>
      <c r="L366">
        <v>6146</v>
      </c>
      <c r="M366">
        <v>6678</v>
      </c>
      <c r="N366" s="10">
        <f>L366/M366</f>
        <v>0.9203354297693921</v>
      </c>
      <c r="O366">
        <v>3884</v>
      </c>
    </row>
    <row r="367" spans="1:15" ht="15.75">
      <c r="A367" s="11">
        <v>1428</v>
      </c>
      <c r="B367" t="s">
        <v>119</v>
      </c>
      <c r="C367" s="11">
        <v>37.5</v>
      </c>
      <c r="D367">
        <v>20</v>
      </c>
      <c r="E367">
        <v>0.0667933</v>
      </c>
      <c r="F367">
        <v>584948</v>
      </c>
      <c r="G367" s="8">
        <v>12087400</v>
      </c>
      <c r="H367" s="10">
        <f>D367*F367/G367</f>
        <v>0.9678640567864056</v>
      </c>
      <c r="I367">
        <v>147184</v>
      </c>
      <c r="J367" s="10">
        <f>(I367*D367/H367+O367/N367)/E367/0.26</f>
        <v>175386840.60851654</v>
      </c>
      <c r="K367" s="1">
        <f>J367-54490000*0.82</f>
        <v>130705040.60851654</v>
      </c>
      <c r="L367">
        <v>6002</v>
      </c>
      <c r="M367">
        <v>6587</v>
      </c>
      <c r="N367" s="10">
        <f>L367/M367</f>
        <v>0.9111887050250493</v>
      </c>
      <c r="O367">
        <v>4004</v>
      </c>
    </row>
    <row r="368" spans="1:15" ht="15.75">
      <c r="A368" s="11">
        <v>1429</v>
      </c>
      <c r="B368" t="s">
        <v>119</v>
      </c>
      <c r="C368" s="11">
        <v>36.5</v>
      </c>
      <c r="D368">
        <v>20</v>
      </c>
      <c r="E368">
        <v>0.0668265</v>
      </c>
      <c r="F368">
        <v>585588</v>
      </c>
      <c r="G368" s="8">
        <v>12093300</v>
      </c>
      <c r="H368" s="10">
        <f>D368*F368/G368</f>
        <v>0.9684502989258515</v>
      </c>
      <c r="I368">
        <v>148186</v>
      </c>
      <c r="J368" s="10">
        <f>(I368*D368/H368+O368/N368)/E368/0.26</f>
        <v>176385116.1891988</v>
      </c>
      <c r="K368" s="1">
        <f>J368-54490000*0.82</f>
        <v>131703316.18919879</v>
      </c>
      <c r="L368">
        <v>6260</v>
      </c>
      <c r="M368">
        <v>6773</v>
      </c>
      <c r="N368" s="10">
        <f>L368/M368</f>
        <v>0.9242580835671047</v>
      </c>
      <c r="O368">
        <v>4068</v>
      </c>
    </row>
    <row r="369" spans="1:15" ht="15.75">
      <c r="A369" s="11">
        <v>1430</v>
      </c>
      <c r="B369" t="s">
        <v>119</v>
      </c>
      <c r="C369" s="11">
        <v>37.5</v>
      </c>
      <c r="D369">
        <v>20</v>
      </c>
      <c r="E369">
        <v>0.066763</v>
      </c>
      <c r="F369">
        <v>585241</v>
      </c>
      <c r="G369" s="8">
        <v>12090300</v>
      </c>
      <c r="H369" s="10">
        <f>D369*F369/G369</f>
        <v>0.9681165893319438</v>
      </c>
      <c r="I369">
        <v>147767</v>
      </c>
      <c r="J369" s="10">
        <f>(I369*D369/H369+O369/N369)/E369/0.26</f>
        <v>176111091.35437623</v>
      </c>
      <c r="K369" s="1">
        <f>J369-54490000*0.82</f>
        <v>131429291.35437623</v>
      </c>
      <c r="L369">
        <v>6029</v>
      </c>
      <c r="M369">
        <v>6593</v>
      </c>
      <c r="N369" s="10">
        <f>L369/M369</f>
        <v>0.9144547247080237</v>
      </c>
      <c r="O369">
        <v>3963</v>
      </c>
    </row>
    <row r="370" spans="1:15" ht="15.75">
      <c r="A370" s="11">
        <v>1431</v>
      </c>
      <c r="B370" t="s">
        <v>119</v>
      </c>
      <c r="C370" s="11">
        <v>36.6</v>
      </c>
      <c r="D370">
        <v>20</v>
      </c>
      <c r="E370">
        <v>0.0668792</v>
      </c>
      <c r="F370">
        <v>585594</v>
      </c>
      <c r="G370" s="8">
        <v>12092500</v>
      </c>
      <c r="H370" s="10">
        <f>D370*F370/G370</f>
        <v>0.9685242919164772</v>
      </c>
      <c r="I370">
        <v>148058</v>
      </c>
      <c r="J370" s="10">
        <f>(I370*D370/H370+O370/N370)/E370/0.26</f>
        <v>176068120.8643645</v>
      </c>
      <c r="K370" s="1">
        <f>J370-54490000*0.82</f>
        <v>131386320.8643645</v>
      </c>
      <c r="L370">
        <v>6223</v>
      </c>
      <c r="M370">
        <v>6779</v>
      </c>
      <c r="N370" s="10">
        <f>L370/M370</f>
        <v>0.9179820032453164</v>
      </c>
      <c r="O370">
        <v>3840</v>
      </c>
    </row>
    <row r="371" spans="1:15" ht="15.75">
      <c r="A371" s="11">
        <v>1432</v>
      </c>
      <c r="B371" t="s">
        <v>119</v>
      </c>
      <c r="C371" s="11">
        <v>35</v>
      </c>
      <c r="D371">
        <v>20</v>
      </c>
      <c r="E371">
        <v>0.0668097</v>
      </c>
      <c r="F371">
        <v>585444</v>
      </c>
      <c r="G371" s="8">
        <v>12089600</v>
      </c>
      <c r="H371" s="10">
        <f>D371*F371/G371</f>
        <v>0.9685084700899947</v>
      </c>
      <c r="I371">
        <v>148236</v>
      </c>
      <c r="J371" s="10">
        <f>(I371*D371/H371+O371/N371)/E371/0.26</f>
        <v>176471502.9080313</v>
      </c>
      <c r="K371" s="1">
        <f>J371-54490000*0.82</f>
        <v>131789702.90803131</v>
      </c>
      <c r="L371">
        <v>6410</v>
      </c>
      <c r="M371">
        <v>6973</v>
      </c>
      <c r="N371" s="10">
        <f>L371/M371</f>
        <v>0.919260002868206</v>
      </c>
      <c r="O371">
        <v>3937</v>
      </c>
    </row>
    <row r="372" spans="1:15" ht="15.75">
      <c r="A372" s="11">
        <v>1433</v>
      </c>
      <c r="B372" t="s">
        <v>119</v>
      </c>
      <c r="C372" s="11">
        <v>15</v>
      </c>
      <c r="D372">
        <v>20</v>
      </c>
      <c r="E372">
        <v>0.012886199999999999</v>
      </c>
      <c r="F372">
        <v>113665</v>
      </c>
      <c r="G372" s="8">
        <v>2306360</v>
      </c>
      <c r="H372" s="10">
        <f>D372*F372/G372</f>
        <v>0.9856657243448551</v>
      </c>
      <c r="I372">
        <v>29128</v>
      </c>
      <c r="J372" s="10">
        <f>(I372*D372/H372+O372/N372)/E372/0.26</f>
        <v>176550739.52905124</v>
      </c>
      <c r="K372" s="1">
        <f>J372-54490000*0.82</f>
        <v>131868939.52905124</v>
      </c>
      <c r="L372">
        <v>3055</v>
      </c>
      <c r="M372">
        <v>3191</v>
      </c>
      <c r="N372" s="10">
        <f>L372/M372</f>
        <v>0.9573801316201818</v>
      </c>
      <c r="O372">
        <v>465</v>
      </c>
    </row>
    <row r="373" spans="10:11" ht="15.75">
      <c r="J373" s="1" t="s">
        <v>58</v>
      </c>
      <c r="K373" s="1">
        <f>SUM(K361:K372)/12</f>
        <v>131183438.84485042</v>
      </c>
    </row>
    <row r="374" ht="15.75">
      <c r="A374" t="s">
        <v>132</v>
      </c>
    </row>
    <row r="375" spans="1:10" ht="15.75">
      <c r="A375" t="s">
        <v>50</v>
      </c>
      <c r="B375" s="9">
        <f>0.003*0.003/0.0085/0.0051</f>
        <v>0.2076124567474048</v>
      </c>
      <c r="G375" s="16" t="s">
        <v>118</v>
      </c>
      <c r="H375" s="16">
        <v>57436000</v>
      </c>
      <c r="I375" s="27" t="s">
        <v>121</v>
      </c>
      <c r="J375" s="27"/>
    </row>
    <row r="376" spans="1:15" ht="15.75">
      <c r="A376" t="s">
        <v>27</v>
      </c>
      <c r="B376" t="s">
        <v>28</v>
      </c>
      <c r="C376" t="s">
        <v>1</v>
      </c>
      <c r="D376" t="s">
        <v>29</v>
      </c>
      <c r="E376" t="s">
        <v>30</v>
      </c>
      <c r="F376" t="s">
        <v>31</v>
      </c>
      <c r="G376" t="s">
        <v>32</v>
      </c>
      <c r="H376" t="s">
        <v>33</v>
      </c>
      <c r="I376" t="s">
        <v>34</v>
      </c>
      <c r="J376" s="1" t="s">
        <v>35</v>
      </c>
      <c r="K376" t="s">
        <v>36</v>
      </c>
      <c r="L376" t="s">
        <v>37</v>
      </c>
      <c r="M376" t="s">
        <v>38</v>
      </c>
      <c r="N376" t="s">
        <v>39</v>
      </c>
      <c r="O376" t="s">
        <v>40</v>
      </c>
    </row>
    <row r="377" spans="1:15" ht="15.75">
      <c r="A377" s="11">
        <v>2005</v>
      </c>
      <c r="B377" t="s">
        <v>119</v>
      </c>
      <c r="C377" s="11">
        <v>10</v>
      </c>
      <c r="D377">
        <v>30</v>
      </c>
      <c r="E377">
        <v>0.00588804</v>
      </c>
      <c r="F377">
        <v>36545</v>
      </c>
      <c r="G377" s="8">
        <v>1107770</v>
      </c>
      <c r="H377" s="10">
        <f>D377*F377/G377</f>
        <v>0.9896910008395244</v>
      </c>
      <c r="I377">
        <v>7434</v>
      </c>
      <c r="J377" s="1">
        <f>(I377*D377/H377+O377/N377)/E377/0.208</f>
        <v>184528035.02715567</v>
      </c>
      <c r="K377" s="1">
        <f>J377-57436000*0.82</f>
        <v>137430515.02715567</v>
      </c>
      <c r="L377">
        <v>2283</v>
      </c>
      <c r="M377">
        <v>2358</v>
      </c>
      <c r="N377" s="10">
        <f>L377/M377</f>
        <v>0.9681933842239185</v>
      </c>
      <c r="O377">
        <v>630</v>
      </c>
    </row>
    <row r="378" spans="1:15" ht="15.75">
      <c r="A378" s="11">
        <v>2006</v>
      </c>
      <c r="B378" t="s">
        <v>119</v>
      </c>
      <c r="C378" s="11">
        <v>19</v>
      </c>
      <c r="D378">
        <v>30</v>
      </c>
      <c r="E378">
        <v>0.0278245</v>
      </c>
      <c r="F378">
        <v>182109</v>
      </c>
      <c r="G378" s="8">
        <v>5603330</v>
      </c>
      <c r="H378" s="10">
        <f>D378*F378/G378</f>
        <v>0.9750041493183518</v>
      </c>
      <c r="I378">
        <v>34967</v>
      </c>
      <c r="J378" s="1">
        <f>(I378*D378/H378+O378/N378)/E378/0.208</f>
        <v>186910744.06781566</v>
      </c>
      <c r="K378" s="1">
        <f>J378-57436000*0.82</f>
        <v>139813224.06781566</v>
      </c>
      <c r="L378">
        <v>5223</v>
      </c>
      <c r="M378">
        <v>5486</v>
      </c>
      <c r="N378" s="10">
        <f>L378/M378</f>
        <v>0.9520597885526796</v>
      </c>
      <c r="O378">
        <v>5562</v>
      </c>
    </row>
    <row r="379" spans="1:15" ht="15.75">
      <c r="A379" s="11">
        <v>2007</v>
      </c>
      <c r="B379" t="s">
        <v>119</v>
      </c>
      <c r="C379" s="11">
        <v>35</v>
      </c>
      <c r="D379">
        <v>30</v>
      </c>
      <c r="E379">
        <v>0.0437004</v>
      </c>
      <c r="F379">
        <v>322179</v>
      </c>
      <c r="G379" s="8">
        <v>10596500</v>
      </c>
      <c r="H379" s="10">
        <f>D379*F379/G379</f>
        <v>0.9121285330061812</v>
      </c>
      <c r="I379">
        <v>52877</v>
      </c>
      <c r="J379" s="1">
        <f>(I379*D379/H379+O379/N379)/E379/0.208</f>
        <v>193662729.5647658</v>
      </c>
      <c r="K379" s="1">
        <f>J379-57436000*0.82</f>
        <v>146565209.5647658</v>
      </c>
      <c r="L379">
        <v>4163</v>
      </c>
      <c r="M379">
        <v>4724</v>
      </c>
      <c r="N379" s="10">
        <f>L379/M379</f>
        <v>0.8812447078746825</v>
      </c>
      <c r="O379">
        <v>18685</v>
      </c>
    </row>
    <row r="380" spans="1:15" ht="15.75">
      <c r="A380" s="11">
        <v>2008</v>
      </c>
      <c r="B380" t="s">
        <v>119</v>
      </c>
      <c r="C380" s="11">
        <v>36</v>
      </c>
      <c r="D380">
        <v>30</v>
      </c>
      <c r="E380">
        <v>0.042592899999999996</v>
      </c>
      <c r="F380">
        <v>319902</v>
      </c>
      <c r="G380" s="8">
        <v>10559700</v>
      </c>
      <c r="H380" s="10">
        <f>D380*F380/G380</f>
        <v>0.9088383192704338</v>
      </c>
      <c r="I380">
        <v>51326</v>
      </c>
      <c r="J380" s="1">
        <f>(I380*D380/H380+O380/N380)/E380/0.208</f>
        <v>193651833.90034312</v>
      </c>
      <c r="K380" s="1">
        <f>J380-57436000*0.82</f>
        <v>146554313.90034312</v>
      </c>
      <c r="L380">
        <v>3844</v>
      </c>
      <c r="M380">
        <v>4412</v>
      </c>
      <c r="N380" s="10">
        <f>L380/M380</f>
        <v>0.8712601994560291</v>
      </c>
      <c r="O380">
        <v>18641</v>
      </c>
    </row>
    <row r="381" spans="1:15" ht="15.75">
      <c r="A381" s="11">
        <v>2009</v>
      </c>
      <c r="B381" t="s">
        <v>119</v>
      </c>
      <c r="C381" s="11">
        <v>24</v>
      </c>
      <c r="D381">
        <v>30</v>
      </c>
      <c r="E381">
        <v>0.0450178</v>
      </c>
      <c r="F381">
        <v>330074</v>
      </c>
      <c r="G381" s="8">
        <v>10774700</v>
      </c>
      <c r="H381" s="10">
        <f>D381*F381/G381</f>
        <v>0.9190251236693365</v>
      </c>
      <c r="I381">
        <v>54870</v>
      </c>
      <c r="J381" s="1">
        <f>(I381*D381/H381+O381/N381)/E381/0.208</f>
        <v>193477253.3658676</v>
      </c>
      <c r="K381" s="1">
        <f>J381-57436000*0.82</f>
        <v>146379733.3658676</v>
      </c>
      <c r="L381">
        <v>6410</v>
      </c>
      <c r="M381">
        <v>6983</v>
      </c>
      <c r="N381" s="10">
        <f>L381/M381</f>
        <v>0.9179435772590577</v>
      </c>
      <c r="O381">
        <v>18842</v>
      </c>
    </row>
    <row r="382" spans="1:15" ht="15.75">
      <c r="A382" s="11">
        <v>2010</v>
      </c>
      <c r="B382" t="s">
        <v>119</v>
      </c>
      <c r="C382" s="11">
        <v>36</v>
      </c>
      <c r="D382">
        <v>30</v>
      </c>
      <c r="E382">
        <v>0.043532499999999995</v>
      </c>
      <c r="F382">
        <v>323328</v>
      </c>
      <c r="G382" s="8">
        <v>10629300</v>
      </c>
      <c r="H382" s="10">
        <f>D382*F382/G382</f>
        <v>0.9125568005418984</v>
      </c>
      <c r="I382">
        <v>52980</v>
      </c>
      <c r="J382" s="1">
        <f>(I382*D382/H382+O382/N382)/E382/0.208</f>
        <v>194785444.9302401</v>
      </c>
      <c r="K382" s="1">
        <f>J382-57436000*0.82</f>
        <v>147687924.9302401</v>
      </c>
      <c r="L382">
        <v>3920</v>
      </c>
      <c r="M382">
        <v>4542</v>
      </c>
      <c r="N382" s="10">
        <f>L382/M382</f>
        <v>0.8630559225011009</v>
      </c>
      <c r="O382">
        <v>19018</v>
      </c>
    </row>
    <row r="383" spans="1:15" ht="15.75">
      <c r="A383" s="11">
        <v>2011</v>
      </c>
      <c r="B383" t="s">
        <v>119</v>
      </c>
      <c r="C383" s="11">
        <v>34</v>
      </c>
      <c r="D383">
        <v>30</v>
      </c>
      <c r="E383">
        <v>0.0439267</v>
      </c>
      <c r="F383">
        <v>324701</v>
      </c>
      <c r="G383" s="8">
        <v>10672300</v>
      </c>
      <c r="H383" s="10">
        <f>D383*F383/G383</f>
        <v>0.9127395219399754</v>
      </c>
      <c r="I383">
        <v>53071</v>
      </c>
      <c r="J383" s="1">
        <f>(I383*D383/H383+O383/N383)/E383/0.208</f>
        <v>193292258.16001475</v>
      </c>
      <c r="K383" s="1">
        <f>J383-57436000*0.82</f>
        <v>146194738.16001475</v>
      </c>
      <c r="L383">
        <v>4154</v>
      </c>
      <c r="M383">
        <v>4782</v>
      </c>
      <c r="N383" s="10">
        <f>L383/M383</f>
        <v>0.8686741948975324</v>
      </c>
      <c r="O383">
        <v>18869</v>
      </c>
    </row>
    <row r="384" spans="1:15" ht="15.75">
      <c r="A384" s="11">
        <v>2012</v>
      </c>
      <c r="B384" t="s">
        <v>119</v>
      </c>
      <c r="C384" s="11">
        <v>38</v>
      </c>
      <c r="D384">
        <v>30</v>
      </c>
      <c r="E384">
        <v>0.043625</v>
      </c>
      <c r="F384">
        <v>322951</v>
      </c>
      <c r="G384" s="8">
        <v>10624500</v>
      </c>
      <c r="H384" s="10">
        <f>D384*F384/G384</f>
        <v>0.9119045602145983</v>
      </c>
      <c r="I384">
        <v>52964</v>
      </c>
      <c r="J384" s="1">
        <f>(I384*D384/H384+O384/N384)/E384/0.208</f>
        <v>194443983.28570262</v>
      </c>
      <c r="K384" s="1">
        <f>J384-57436000*0.82</f>
        <v>147346463.28570262</v>
      </c>
      <c r="L384">
        <v>3800</v>
      </c>
      <c r="M384">
        <v>4332</v>
      </c>
      <c r="N384" s="10">
        <f>L384/M384</f>
        <v>0.8771929824561403</v>
      </c>
      <c r="O384">
        <v>19268</v>
      </c>
    </row>
    <row r="385" spans="1:15" ht="15.75">
      <c r="A385" s="11">
        <v>2013</v>
      </c>
      <c r="B385" t="s">
        <v>119</v>
      </c>
      <c r="C385" s="11">
        <v>36</v>
      </c>
      <c r="D385">
        <v>30</v>
      </c>
      <c r="E385">
        <v>0.044634599999999997</v>
      </c>
      <c r="F385">
        <v>326740</v>
      </c>
      <c r="G385" s="8">
        <v>10699000</v>
      </c>
      <c r="H385" s="10">
        <f>D385*F385/G385</f>
        <v>0.916179082157211</v>
      </c>
      <c r="I385">
        <v>54407</v>
      </c>
      <c r="J385" s="1">
        <f>(I385*D385/H385+O385/N385)/E385/0.208</f>
        <v>194231300.18767592</v>
      </c>
      <c r="K385" s="1">
        <f>J385-57436000*0.82</f>
        <v>147133780.18767592</v>
      </c>
      <c r="L385">
        <v>4056</v>
      </c>
      <c r="M385">
        <v>4639</v>
      </c>
      <c r="N385" s="10">
        <f>L385/M385</f>
        <v>0.8743263634403966</v>
      </c>
      <c r="O385">
        <v>18975</v>
      </c>
    </row>
    <row r="386" spans="1:15" ht="15.75">
      <c r="A386" s="11">
        <v>2014</v>
      </c>
      <c r="B386" t="s">
        <v>119</v>
      </c>
      <c r="C386" s="11">
        <v>13</v>
      </c>
      <c r="D386">
        <v>30</v>
      </c>
      <c r="E386">
        <v>0.008193520000000001</v>
      </c>
      <c r="F386">
        <v>60369</v>
      </c>
      <c r="G386" s="8">
        <v>1979140</v>
      </c>
      <c r="H386" s="10">
        <f>D386*F386/G386</f>
        <v>0.915079276857625</v>
      </c>
      <c r="I386">
        <v>10001</v>
      </c>
      <c r="J386" s="1">
        <f>(I386*D386/H386+O386/N386)/E386/0.208</f>
        <v>194638281.26745453</v>
      </c>
      <c r="K386" s="1">
        <f>J386-57436000*0.82</f>
        <v>147540761.26745453</v>
      </c>
      <c r="L386">
        <v>2151</v>
      </c>
      <c r="M386">
        <v>2272</v>
      </c>
      <c r="N386" s="10">
        <f>L386/M386</f>
        <v>0.9467429577464789</v>
      </c>
      <c r="O386">
        <v>3635</v>
      </c>
    </row>
    <row r="387" spans="10:11" ht="15.75">
      <c r="J387" s="1" t="s">
        <v>58</v>
      </c>
      <c r="K387" s="1">
        <f>SUM(K377:K386)/10</f>
        <v>145264666.3757036</v>
      </c>
    </row>
    <row r="388" spans="1:13" ht="15.75">
      <c r="A388" s="29" t="s">
        <v>18</v>
      </c>
      <c r="B388" s="29"/>
      <c r="C388" s="29"/>
      <c r="D388" s="29"/>
      <c r="E388" s="29"/>
      <c r="F388" s="29"/>
      <c r="G388" s="29"/>
      <c r="H388" s="29"/>
      <c r="I388" s="29"/>
      <c r="J388" s="30"/>
      <c r="K388" s="29"/>
      <c r="L388" s="29"/>
      <c r="M388" s="29"/>
    </row>
    <row r="389" ht="15.75">
      <c r="A389" t="s">
        <v>133</v>
      </c>
    </row>
    <row r="390" spans="1:10" ht="15.75">
      <c r="A390" t="s">
        <v>50</v>
      </c>
      <c r="B390" s="9">
        <f>0.007*0.005/0.0101/0.0087</f>
        <v>0.3983156936383293</v>
      </c>
      <c r="E390" t="s">
        <v>134</v>
      </c>
      <c r="H390" t="s">
        <v>135</v>
      </c>
      <c r="I390" s="10"/>
      <c r="J390" s="1">
        <f>48806174*0.0992/0.0968</f>
        <v>50016244.42975207</v>
      </c>
    </row>
    <row r="391" spans="1:15" ht="15.75">
      <c r="A391" t="s">
        <v>27</v>
      </c>
      <c r="B391" t="s">
        <v>28</v>
      </c>
      <c r="C391" t="s">
        <v>1</v>
      </c>
      <c r="D391" t="s">
        <v>29</v>
      </c>
      <c r="E391" t="s">
        <v>30</v>
      </c>
      <c r="F391" t="s">
        <v>31</v>
      </c>
      <c r="G391" t="s">
        <v>32</v>
      </c>
      <c r="H391" t="s">
        <v>33</v>
      </c>
      <c r="I391" t="s">
        <v>34</v>
      </c>
      <c r="J391" s="1" t="s">
        <v>35</v>
      </c>
      <c r="K391" t="s">
        <v>36</v>
      </c>
      <c r="L391" t="s">
        <v>37</v>
      </c>
      <c r="M391" t="s">
        <v>38</v>
      </c>
      <c r="N391" t="s">
        <v>39</v>
      </c>
      <c r="O391" t="s">
        <v>40</v>
      </c>
    </row>
    <row r="392" spans="1:15" ht="15.75">
      <c r="A392" s="11">
        <v>1215</v>
      </c>
      <c r="B392" t="s">
        <v>45</v>
      </c>
      <c r="C392" s="11">
        <v>57.7</v>
      </c>
      <c r="D392">
        <v>10</v>
      </c>
      <c r="E392">
        <v>0.039822199999999995</v>
      </c>
      <c r="F392">
        <v>541504</v>
      </c>
      <c r="G392" s="8">
        <v>6022600</v>
      </c>
      <c r="H392" s="10">
        <f>D392*F392/G392</f>
        <v>0.8991199814033806</v>
      </c>
      <c r="I392">
        <v>141716</v>
      </c>
      <c r="J392" s="1">
        <f>(I392*D392/H392+O392/N392)/E392/0.398</f>
        <v>100235654.38818723</v>
      </c>
      <c r="K392" s="1">
        <f>J392-50016244*0.82</f>
        <v>59222334.308187224</v>
      </c>
      <c r="L392">
        <v>2044</v>
      </c>
      <c r="M392">
        <v>2564</v>
      </c>
      <c r="N392" s="10">
        <f>L392/M392</f>
        <v>0.797191887675507</v>
      </c>
      <c r="O392">
        <v>9961</v>
      </c>
    </row>
    <row r="393" spans="1:15" ht="15.75">
      <c r="A393" s="11">
        <v>1216</v>
      </c>
      <c r="B393" t="s">
        <v>45</v>
      </c>
      <c r="C393" s="11">
        <v>50.7</v>
      </c>
      <c r="D393">
        <v>10</v>
      </c>
      <c r="E393">
        <v>0.078841</v>
      </c>
      <c r="F393">
        <v>1076984</v>
      </c>
      <c r="G393" s="8">
        <v>11943100</v>
      </c>
      <c r="H393" s="10">
        <f>D393*F393/G393</f>
        <v>0.9017625239678141</v>
      </c>
      <c r="I393">
        <v>281086</v>
      </c>
      <c r="J393" s="1">
        <f>(I393*D393/H393+O393/N393)/E393/0.398</f>
        <v>100100514.58787838</v>
      </c>
      <c r="K393" s="1">
        <f>J393-50016244*0.82</f>
        <v>59087194.50787837</v>
      </c>
      <c r="L393">
        <v>4698</v>
      </c>
      <c r="M393">
        <v>5743</v>
      </c>
      <c r="N393" s="10">
        <f>L393/M393</f>
        <v>0.8180393522549191</v>
      </c>
      <c r="O393">
        <v>19594</v>
      </c>
    </row>
    <row r="394" spans="1:15" ht="15.75">
      <c r="A394" s="11">
        <v>1217</v>
      </c>
      <c r="B394" t="s">
        <v>45</v>
      </c>
      <c r="C394" s="11">
        <v>40</v>
      </c>
      <c r="D394">
        <v>10</v>
      </c>
      <c r="E394">
        <v>0.022924</v>
      </c>
      <c r="F394">
        <v>315531</v>
      </c>
      <c r="G394" s="8">
        <v>3486930</v>
      </c>
      <c r="H394" s="10">
        <f>D394*F394/G394</f>
        <v>0.9048962841238568</v>
      </c>
      <c r="I394">
        <v>82049</v>
      </c>
      <c r="J394" s="1">
        <f>(I394*D394/H394+O394/N394)/E394/0.398</f>
        <v>100121614.04700665</v>
      </c>
      <c r="K394" s="1">
        <f>J394-50016244*0.82</f>
        <v>59108293.967006646</v>
      </c>
      <c r="L394">
        <v>1820</v>
      </c>
      <c r="M394">
        <v>2137</v>
      </c>
      <c r="N394" s="10">
        <f>L394/M394</f>
        <v>0.8516612072999532</v>
      </c>
      <c r="O394">
        <v>5759</v>
      </c>
    </row>
    <row r="395" spans="1:15" ht="15.75">
      <c r="A395" s="11">
        <v>1225</v>
      </c>
      <c r="B395" t="s">
        <v>45</v>
      </c>
      <c r="C395" s="11">
        <v>44.8</v>
      </c>
      <c r="D395">
        <v>10</v>
      </c>
      <c r="E395">
        <v>0.07954169999999999</v>
      </c>
      <c r="F395">
        <v>1082412</v>
      </c>
      <c r="G395" s="8">
        <v>11787600</v>
      </c>
      <c r="H395" s="10">
        <f>D395*F395/G395</f>
        <v>0.9182632596966304</v>
      </c>
      <c r="I395">
        <v>287352</v>
      </c>
      <c r="J395" s="1">
        <f>(I395*D395/H395+O395/N395)/E395/0.398</f>
        <v>99585163.65364209</v>
      </c>
      <c r="K395" s="1">
        <f>J395-50016244*0.82</f>
        <v>58571843.57364208</v>
      </c>
      <c r="L395">
        <v>5529</v>
      </c>
      <c r="M395">
        <v>6573</v>
      </c>
      <c r="N395" s="10">
        <f>L395/M395</f>
        <v>0.8411684162482884</v>
      </c>
      <c r="O395">
        <v>19623</v>
      </c>
    </row>
    <row r="396" spans="1:15" ht="15.75">
      <c r="A396" s="11">
        <v>1226</v>
      </c>
      <c r="B396" t="s">
        <v>45</v>
      </c>
      <c r="C396" s="11">
        <v>39.7</v>
      </c>
      <c r="D396">
        <v>10</v>
      </c>
      <c r="E396">
        <v>0.0795833</v>
      </c>
      <c r="F396">
        <v>1080132</v>
      </c>
      <c r="G396" s="8">
        <v>11787600</v>
      </c>
      <c r="H396" s="10">
        <f>D396*F396/G396</f>
        <v>0.9163290237198412</v>
      </c>
      <c r="I396">
        <v>287291</v>
      </c>
      <c r="J396" s="1">
        <f>(I396*D396/H396+O396/N396)/E396/0.398</f>
        <v>99708506.3705726</v>
      </c>
      <c r="K396" s="1">
        <f>J396-50016244*0.82</f>
        <v>58695186.29057259</v>
      </c>
      <c r="L396">
        <v>6382</v>
      </c>
      <c r="M396">
        <v>7410</v>
      </c>
      <c r="N396" s="10">
        <f>L396/M396</f>
        <v>0.8612685560053981</v>
      </c>
      <c r="O396">
        <v>19761</v>
      </c>
    </row>
    <row r="397" spans="1:15" ht="15.75">
      <c r="A397" s="11">
        <v>1227</v>
      </c>
      <c r="B397" t="s">
        <v>45</v>
      </c>
      <c r="C397" s="11">
        <v>40.6</v>
      </c>
      <c r="D397">
        <v>10</v>
      </c>
      <c r="E397">
        <v>0.07962799999999999</v>
      </c>
      <c r="F397">
        <v>1081536</v>
      </c>
      <c r="G397" s="8">
        <v>11794500</v>
      </c>
      <c r="H397" s="10">
        <f>D397*F397/G397</f>
        <v>0.9169833396922294</v>
      </c>
      <c r="I397">
        <v>287998</v>
      </c>
      <c r="J397" s="1">
        <f>(I397*D397/H397+O397/N397)/E397/0.398</f>
        <v>99828515.19820668</v>
      </c>
      <c r="K397" s="1">
        <f>J397-50016244*0.82</f>
        <v>58815195.11820667</v>
      </c>
      <c r="L397">
        <v>6216</v>
      </c>
      <c r="M397">
        <v>7253</v>
      </c>
      <c r="N397" s="10">
        <f>L397/M397</f>
        <v>0.8570246794429891</v>
      </c>
      <c r="O397">
        <v>19753</v>
      </c>
    </row>
    <row r="398" spans="1:15" ht="15.75">
      <c r="A398" s="11">
        <v>1228</v>
      </c>
      <c r="B398" t="s">
        <v>45</v>
      </c>
      <c r="C398" s="11">
        <v>22</v>
      </c>
      <c r="D398">
        <v>10</v>
      </c>
      <c r="E398">
        <v>0.0310503</v>
      </c>
      <c r="F398">
        <v>420896</v>
      </c>
      <c r="G398" s="8">
        <v>4613490</v>
      </c>
      <c r="H398" s="10">
        <f>D398*F398/G398</f>
        <v>0.9123158389852368</v>
      </c>
      <c r="I398">
        <v>111682</v>
      </c>
      <c r="J398" s="1">
        <f>(I398*D398/H398+O398/N398)/E398/0.398</f>
        <v>99732692.36683993</v>
      </c>
      <c r="K398" s="1">
        <f>J398-50016244*0.82</f>
        <v>58719372.286839925</v>
      </c>
      <c r="L398">
        <v>4813</v>
      </c>
      <c r="M398">
        <v>5237</v>
      </c>
      <c r="N398" s="10">
        <f>L398/M398</f>
        <v>0.9190376169562727</v>
      </c>
      <c r="O398">
        <v>7664</v>
      </c>
    </row>
    <row r="399" spans="1:15" ht="15.75">
      <c r="A399" s="11">
        <v>1229</v>
      </c>
      <c r="B399" t="s">
        <v>45</v>
      </c>
      <c r="C399" s="11">
        <v>38.6</v>
      </c>
      <c r="D399">
        <v>10</v>
      </c>
      <c r="E399">
        <v>0.0402781</v>
      </c>
      <c r="F399">
        <v>551118</v>
      </c>
      <c r="G399" s="8">
        <v>5969900</v>
      </c>
      <c r="H399" s="10">
        <f>D399*F399/G399</f>
        <v>0.9231611919797652</v>
      </c>
      <c r="I399">
        <v>147235</v>
      </c>
      <c r="J399" s="1">
        <f>(I399*D399/H399+O399/N399)/E399/0.398</f>
        <v>100218839.05047238</v>
      </c>
      <c r="K399" s="1">
        <f>J399-50016244*0.82</f>
        <v>59205518.97047237</v>
      </c>
      <c r="L399">
        <v>3354</v>
      </c>
      <c r="M399">
        <v>3874</v>
      </c>
      <c r="N399" s="10">
        <f>L399/M399</f>
        <v>0.8657718120805369</v>
      </c>
      <c r="O399">
        <v>10109</v>
      </c>
    </row>
    <row r="400" spans="10:11" ht="15.75">
      <c r="J400" s="1" t="s">
        <v>58</v>
      </c>
      <c r="K400" s="1">
        <f>SUM(K392:K399)/8</f>
        <v>58928117.37785073</v>
      </c>
    </row>
    <row r="401" spans="1:15" ht="15.75">
      <c r="A401" t="s">
        <v>27</v>
      </c>
      <c r="B401" t="s">
        <v>28</v>
      </c>
      <c r="C401" t="s">
        <v>1</v>
      </c>
      <c r="D401" t="s">
        <v>29</v>
      </c>
      <c r="E401" t="s">
        <v>30</v>
      </c>
      <c r="F401" t="s">
        <v>31</v>
      </c>
      <c r="G401" t="s">
        <v>32</v>
      </c>
      <c r="H401" t="s">
        <v>33</v>
      </c>
      <c r="I401" t="s">
        <v>34</v>
      </c>
      <c r="J401" s="1" t="s">
        <v>35</v>
      </c>
      <c r="K401" t="s">
        <v>36</v>
      </c>
      <c r="L401" t="s">
        <v>37</v>
      </c>
      <c r="M401" t="s">
        <v>38</v>
      </c>
      <c r="N401" t="s">
        <v>39</v>
      </c>
      <c r="O401" t="s">
        <v>40</v>
      </c>
    </row>
    <row r="402" ht="15.75">
      <c r="A402" t="s">
        <v>136</v>
      </c>
    </row>
    <row r="403" spans="1:10" ht="15.75">
      <c r="A403" t="s">
        <v>50</v>
      </c>
      <c r="B403" s="9">
        <v>0.406</v>
      </c>
      <c r="E403" t="s">
        <v>137</v>
      </c>
      <c r="J403" s="1">
        <f>48735251*0.0992/0.0968</f>
        <v>49943563.00826447</v>
      </c>
    </row>
    <row r="404" spans="1:15" ht="15.75">
      <c r="A404" s="11">
        <v>1233</v>
      </c>
      <c r="B404" t="s">
        <v>45</v>
      </c>
      <c r="C404" s="11">
        <v>49.8</v>
      </c>
      <c r="D404">
        <v>10</v>
      </c>
      <c r="E404">
        <v>0.08984779999999999</v>
      </c>
      <c r="F404">
        <v>1242027</v>
      </c>
      <c r="G404" s="8">
        <v>13233900</v>
      </c>
      <c r="H404" s="10">
        <f>D404*F404/G404</f>
        <v>0.9385192573617754</v>
      </c>
      <c r="I404">
        <v>345060</v>
      </c>
      <c r="J404" s="1">
        <f>(I404*D404/H404+O404/N404)/E404/0.406</f>
        <v>101372486.71850576</v>
      </c>
      <c r="K404" s="1">
        <f>J404-49943563*0.82</f>
        <v>60418765.05850575</v>
      </c>
      <c r="L404">
        <v>5702</v>
      </c>
      <c r="M404">
        <v>6685</v>
      </c>
      <c r="N404" s="10">
        <f>L404/M404</f>
        <v>0.8529543754674644</v>
      </c>
      <c r="O404">
        <v>18120</v>
      </c>
    </row>
    <row r="405" spans="1:15" ht="15.75">
      <c r="A405" s="11">
        <v>1234</v>
      </c>
      <c r="B405" t="s">
        <v>45</v>
      </c>
      <c r="C405" s="11">
        <v>50.2</v>
      </c>
      <c r="D405">
        <v>10</v>
      </c>
      <c r="E405">
        <v>0.0897311</v>
      </c>
      <c r="F405">
        <v>1243220</v>
      </c>
      <c r="G405" s="8">
        <v>13245600</v>
      </c>
      <c r="H405" s="10">
        <f>D405*F405/G405</f>
        <v>0.9385909283082684</v>
      </c>
      <c r="I405">
        <v>336136</v>
      </c>
      <c r="J405" s="1">
        <f>(I405*D405/H405+O405/N405)/E405/0.406</f>
        <v>98880400.79436453</v>
      </c>
      <c r="K405" s="1">
        <f>J405-49943563*0.82</f>
        <v>57926679.13436452</v>
      </c>
      <c r="L405">
        <v>5656</v>
      </c>
      <c r="M405">
        <v>6631</v>
      </c>
      <c r="N405" s="10">
        <f>L405/M405</f>
        <v>0.8529633539435982</v>
      </c>
      <c r="O405">
        <v>17922</v>
      </c>
    </row>
    <row r="406" spans="1:15" ht="15.75">
      <c r="A406" s="11">
        <v>1235</v>
      </c>
      <c r="B406" t="s">
        <v>45</v>
      </c>
      <c r="C406" s="11">
        <v>45.9</v>
      </c>
      <c r="D406">
        <v>10</v>
      </c>
      <c r="E406">
        <v>0.08947759999999999</v>
      </c>
      <c r="F406">
        <v>1241373</v>
      </c>
      <c r="G406" s="8">
        <v>13214000</v>
      </c>
      <c r="H406" s="10">
        <f>D406*F406/G406</f>
        <v>0.9394377175722718</v>
      </c>
      <c r="I406">
        <v>336151</v>
      </c>
      <c r="J406" s="1">
        <f>(I406*D406/H406+O406/N406)/E406/0.406</f>
        <v>99063550.66195846</v>
      </c>
      <c r="K406" s="1">
        <f>J406-49943563*0.82</f>
        <v>58109829.00195845</v>
      </c>
      <c r="L406">
        <v>6223</v>
      </c>
      <c r="M406">
        <v>7233</v>
      </c>
      <c r="N406" s="10">
        <f>L406/M406</f>
        <v>0.8603622286741325</v>
      </c>
      <c r="O406">
        <v>17686</v>
      </c>
    </row>
    <row r="407" spans="1:15" ht="15.75">
      <c r="A407" s="11">
        <v>1236</v>
      </c>
      <c r="B407" t="s">
        <v>45</v>
      </c>
      <c r="C407" s="11">
        <v>50</v>
      </c>
      <c r="D407">
        <v>10</v>
      </c>
      <c r="E407">
        <v>0.0896873</v>
      </c>
      <c r="F407">
        <v>1242210</v>
      </c>
      <c r="G407" s="8">
        <v>13244700</v>
      </c>
      <c r="H407" s="10">
        <f>D407*F407/G407</f>
        <v>0.9378921379872703</v>
      </c>
      <c r="I407">
        <v>335795</v>
      </c>
      <c r="J407" s="1">
        <f>(I407*D407/H407+O407/N407)/E407/0.406</f>
        <v>98903645.60063976</v>
      </c>
      <c r="K407" s="1">
        <f>J407-49943563*0.82</f>
        <v>57949923.94063976</v>
      </c>
      <c r="L407">
        <v>5576</v>
      </c>
      <c r="M407">
        <v>6654</v>
      </c>
      <c r="N407" s="10">
        <f>L407/M407</f>
        <v>0.8379921851517884</v>
      </c>
      <c r="O407">
        <v>17654</v>
      </c>
    </row>
    <row r="408" spans="1:15" ht="15.75">
      <c r="A408" s="11">
        <v>1237</v>
      </c>
      <c r="B408" t="s">
        <v>45</v>
      </c>
      <c r="C408" s="11">
        <v>47.8</v>
      </c>
      <c r="D408">
        <v>10</v>
      </c>
      <c r="E408">
        <v>0.08960069999999999</v>
      </c>
      <c r="F408">
        <v>1241920</v>
      </c>
      <c r="G408" s="8">
        <v>13231100</v>
      </c>
      <c r="H408" s="10">
        <f>D408*F408/G408</f>
        <v>0.9386369991912993</v>
      </c>
      <c r="I408">
        <v>335239</v>
      </c>
      <c r="J408" s="1">
        <f>(I408*D408/H408+O408/N408)/E408/0.406</f>
        <v>98754714.69749773</v>
      </c>
      <c r="K408" s="1">
        <f>J408-49943563*0.82</f>
        <v>57800993.03749772</v>
      </c>
      <c r="L408">
        <v>5902</v>
      </c>
      <c r="M408">
        <v>6958</v>
      </c>
      <c r="N408" s="10">
        <f>L408/M408</f>
        <v>0.8482322506467376</v>
      </c>
      <c r="O408">
        <v>17759</v>
      </c>
    </row>
    <row r="409" spans="1:15" ht="15.75">
      <c r="A409" s="11">
        <v>1238</v>
      </c>
      <c r="B409" t="s">
        <v>45</v>
      </c>
      <c r="C409" s="11">
        <v>40.2</v>
      </c>
      <c r="D409">
        <v>10</v>
      </c>
      <c r="E409">
        <v>0.08929759999999999</v>
      </c>
      <c r="F409">
        <v>1240046</v>
      </c>
      <c r="G409" s="8">
        <v>13190200</v>
      </c>
      <c r="H409" s="10">
        <f>D409*F409/G409</f>
        <v>0.9401267607769405</v>
      </c>
      <c r="I409">
        <v>335543</v>
      </c>
      <c r="J409" s="1">
        <f>(I409*D409/H409+O409/N409)/E409/0.406</f>
        <v>99007505.84816232</v>
      </c>
      <c r="K409" s="1">
        <f>J409-49943563*0.82</f>
        <v>58053784.18816232</v>
      </c>
      <c r="L409">
        <v>7195</v>
      </c>
      <c r="M409">
        <v>8239</v>
      </c>
      <c r="N409" s="10">
        <f>L409/M409</f>
        <v>0.8732855929117611</v>
      </c>
      <c r="O409">
        <v>17793</v>
      </c>
    </row>
    <row r="410" spans="1:15" ht="15.75">
      <c r="A410" s="11">
        <v>1239</v>
      </c>
      <c r="B410" t="s">
        <v>45</v>
      </c>
      <c r="C410" s="11">
        <v>42.2</v>
      </c>
      <c r="D410">
        <v>10</v>
      </c>
      <c r="E410">
        <v>0.0892943</v>
      </c>
      <c r="F410">
        <v>1240697</v>
      </c>
      <c r="G410" s="8">
        <v>13193600</v>
      </c>
      <c r="H410" s="10">
        <f>D410*F410/G410</f>
        <v>0.9403779105020617</v>
      </c>
      <c r="I410">
        <v>334537</v>
      </c>
      <c r="J410" s="1">
        <f>(I410*D410/H410+O410/N410)/E410/0.406</f>
        <v>98698492.81758131</v>
      </c>
      <c r="K410" s="1">
        <f>J410-49943563*0.82</f>
        <v>57744771.15758131</v>
      </c>
      <c r="L410">
        <v>6813</v>
      </c>
      <c r="M410">
        <v>7847</v>
      </c>
      <c r="N410" s="10">
        <f>L410/M410</f>
        <v>0.868229896775838</v>
      </c>
      <c r="O410">
        <v>17964</v>
      </c>
    </row>
    <row r="411" spans="1:15" ht="15.75">
      <c r="A411" s="11">
        <v>1240</v>
      </c>
      <c r="B411" t="s">
        <v>45</v>
      </c>
      <c r="C411" s="11">
        <v>22</v>
      </c>
      <c r="D411">
        <v>10</v>
      </c>
      <c r="E411">
        <v>0.0292348</v>
      </c>
      <c r="F411">
        <v>407773</v>
      </c>
      <c r="G411" s="8">
        <v>4325590</v>
      </c>
      <c r="H411" s="10">
        <f>D411*F411/G411</f>
        <v>0.9426991462436338</v>
      </c>
      <c r="I411">
        <v>109670</v>
      </c>
      <c r="J411" s="1">
        <f>(I411*D411/H411+O411/N411)/E411/0.406</f>
        <v>98536810.58270496</v>
      </c>
      <c r="K411" s="1">
        <f>J411-49943563*0.82</f>
        <v>57583088.92270496</v>
      </c>
      <c r="L411">
        <v>4568</v>
      </c>
      <c r="M411">
        <v>4916</v>
      </c>
      <c r="N411" s="10">
        <f>L411/M411</f>
        <v>0.9292107404393816</v>
      </c>
      <c r="O411">
        <v>5765</v>
      </c>
    </row>
    <row r="412" spans="1:11" ht="15.75">
      <c r="A412" s="11" t="s">
        <v>138</v>
      </c>
      <c r="C412" s="11"/>
      <c r="G412" s="8"/>
      <c r="J412" s="1" t="s">
        <v>58</v>
      </c>
      <c r="K412" s="1">
        <f>SUM(K404:K411)/8</f>
        <v>58198479.305176854</v>
      </c>
    </row>
    <row r="413" spans="1:11" ht="15.75">
      <c r="A413" s="11" t="s">
        <v>74</v>
      </c>
      <c r="B413" s="9">
        <f>0.013*0.012/0.0167/0.0156</f>
        <v>0.5988023952095809</v>
      </c>
      <c r="C413" s="11"/>
      <c r="G413" s="8"/>
      <c r="K413" s="1"/>
    </row>
    <row r="414" spans="1:14" ht="15.75">
      <c r="A414" s="11">
        <v>1255</v>
      </c>
      <c r="B414" t="s">
        <v>45</v>
      </c>
      <c r="C414" s="11">
        <v>69</v>
      </c>
      <c r="D414">
        <v>1</v>
      </c>
      <c r="E414">
        <v>0.0127377</v>
      </c>
      <c r="F414">
        <v>470853</v>
      </c>
      <c r="G414" s="8">
        <v>1878150</v>
      </c>
      <c r="H414" s="10">
        <f>D414*F414/G414</f>
        <v>0.2507004232888747</v>
      </c>
      <c r="I414">
        <v>214101</v>
      </c>
      <c r="J414" s="1">
        <f>(I414*D414/H414+O414/N414)/E414/0.599</f>
        <v>111929816.05018045</v>
      </c>
      <c r="K414" s="1">
        <f>J414-49943563*0.82</f>
        <v>70976094.39018044</v>
      </c>
      <c r="L414">
        <v>167</v>
      </c>
      <c r="M414">
        <v>705</v>
      </c>
      <c r="N414" s="10">
        <f>L414/M414</f>
        <v>0.23687943262411348</v>
      </c>
    </row>
    <row r="415" spans="1:14" ht="15.75">
      <c r="A415" s="11">
        <v>1256</v>
      </c>
      <c r="B415" t="s">
        <v>45</v>
      </c>
      <c r="C415" s="11">
        <v>49</v>
      </c>
      <c r="D415">
        <v>1</v>
      </c>
      <c r="E415">
        <v>0.011682699999999999</v>
      </c>
      <c r="F415">
        <v>461821</v>
      </c>
      <c r="G415" s="8">
        <v>1654420</v>
      </c>
      <c r="H415" s="10">
        <f>D415*F415/G415</f>
        <v>0.2791437482622309</v>
      </c>
      <c r="I415">
        <v>201744</v>
      </c>
      <c r="J415" s="1">
        <f>(I415*D415/H415+O415/N415)/E415/0.406</f>
        <v>152371401.94131854</v>
      </c>
      <c r="K415" s="1">
        <f>J415-49943563*0.82</f>
        <v>111417680.28131855</v>
      </c>
      <c r="L415">
        <v>376</v>
      </c>
      <c r="M415">
        <v>902</v>
      </c>
      <c r="N415" s="10">
        <f>L415/M415</f>
        <v>0.41685144124168516</v>
      </c>
    </row>
    <row r="416" spans="1:14" ht="15.75">
      <c r="A416" s="11">
        <v>1257</v>
      </c>
      <c r="B416" t="s">
        <v>45</v>
      </c>
      <c r="C416" s="11">
        <v>46</v>
      </c>
      <c r="D416">
        <v>1</v>
      </c>
      <c r="E416">
        <v>0.0108232</v>
      </c>
      <c r="F416">
        <v>463668</v>
      </c>
      <c r="G416" s="8">
        <v>1526050</v>
      </c>
      <c r="H416" s="10">
        <f>D416*F416/G416</f>
        <v>0.303835392025163</v>
      </c>
      <c r="I416">
        <v>202778</v>
      </c>
      <c r="J416" s="1">
        <f>(I416*D416/H416+O416/N416)/E416/0.406</f>
        <v>151880058.9457172</v>
      </c>
      <c r="K416" s="1">
        <f>J416-49943563*0.82</f>
        <v>110926337.28571719</v>
      </c>
      <c r="L416">
        <v>363</v>
      </c>
      <c r="M416">
        <v>888</v>
      </c>
      <c r="N416" s="10">
        <f>L416/M416</f>
        <v>0.40878378378378377</v>
      </c>
    </row>
    <row r="417" spans="1:14" ht="15.75">
      <c r="A417" s="11">
        <v>1258</v>
      </c>
      <c r="B417" t="s">
        <v>45</v>
      </c>
      <c r="C417" s="11">
        <v>69</v>
      </c>
      <c r="D417">
        <v>1</v>
      </c>
      <c r="E417">
        <v>0.0127937</v>
      </c>
      <c r="F417">
        <v>462476</v>
      </c>
      <c r="G417" s="8">
        <v>1813560</v>
      </c>
      <c r="H417" s="10">
        <f>D417*F417/G417</f>
        <v>0.2550100355102671</v>
      </c>
      <c r="I417">
        <v>202065</v>
      </c>
      <c r="J417" s="1">
        <f>(I417*D417/H417+O417/N417)/E417/0.406</f>
        <v>152549794.58099064</v>
      </c>
      <c r="K417" s="1">
        <f>J417-49943563*0.82</f>
        <v>111596072.92099065</v>
      </c>
      <c r="L417">
        <v>195</v>
      </c>
      <c r="M417">
        <v>709</v>
      </c>
      <c r="N417" s="10">
        <f>L417/M417</f>
        <v>0.2750352609308886</v>
      </c>
    </row>
    <row r="418" spans="1:15" ht="15.75">
      <c r="A418" s="11">
        <v>1259</v>
      </c>
      <c r="B418" t="s">
        <v>45</v>
      </c>
      <c r="C418" s="11">
        <v>70</v>
      </c>
      <c r="D418">
        <v>10</v>
      </c>
      <c r="E418">
        <v>0.046024999999999996</v>
      </c>
      <c r="F418">
        <v>589608</v>
      </c>
      <c r="G418" s="8">
        <v>6529680</v>
      </c>
      <c r="H418" s="10">
        <f>D418*F418/G418</f>
        <v>0.9029661484176866</v>
      </c>
      <c r="I418">
        <v>256445</v>
      </c>
      <c r="J418" s="1">
        <f>(I418*D418/H418+O418/N418)/E418/0.406</f>
        <v>153045856.644178</v>
      </c>
      <c r="K418" s="1">
        <f>J418-49943563*0.82</f>
        <v>112092134.984178</v>
      </c>
      <c r="L418">
        <v>1934</v>
      </c>
      <c r="M418">
        <v>2461</v>
      </c>
      <c r="N418" s="10">
        <f>L418/M418</f>
        <v>0.7858594067452255</v>
      </c>
      <c r="O418">
        <v>15567</v>
      </c>
    </row>
    <row r="419" spans="1:15" ht="15.75">
      <c r="A419" s="11">
        <v>1260</v>
      </c>
      <c r="B419" t="s">
        <v>45</v>
      </c>
      <c r="C419" s="11">
        <v>65</v>
      </c>
      <c r="D419">
        <v>10</v>
      </c>
      <c r="E419">
        <v>0.046583599999999996</v>
      </c>
      <c r="F419">
        <v>599955</v>
      </c>
      <c r="G419" s="8">
        <v>6603450</v>
      </c>
      <c r="H419" s="10">
        <f>D419*F419/G419</f>
        <v>0.908547804556709</v>
      </c>
      <c r="I419">
        <v>261597</v>
      </c>
      <c r="J419" s="1">
        <f>(I419*D419/H419+O419/N419)/E419/0.406</f>
        <v>153273200.6650141</v>
      </c>
      <c r="K419" s="1">
        <f>J419-49943563*0.82</f>
        <v>112319479.00501409</v>
      </c>
      <c r="L419">
        <v>2151</v>
      </c>
      <c r="M419">
        <v>2658</v>
      </c>
      <c r="N419" s="10">
        <f>L419/M419</f>
        <v>0.809255079006772</v>
      </c>
      <c r="O419">
        <v>15829</v>
      </c>
    </row>
    <row r="420" spans="10:11" ht="15.75">
      <c r="J420" s="1" t="s">
        <v>58</v>
      </c>
      <c r="K420" s="1">
        <f>SUM(K418:K419)/2</f>
        <v>112205806.99459605</v>
      </c>
    </row>
    <row r="421" spans="1:15" ht="15.75">
      <c r="A421" s="31" t="s">
        <v>27</v>
      </c>
      <c r="B421" s="31" t="s">
        <v>28</v>
      </c>
      <c r="C421" s="31" t="s">
        <v>1</v>
      </c>
      <c r="D421" s="31" t="s">
        <v>29</v>
      </c>
      <c r="E421" s="31" t="s">
        <v>30</v>
      </c>
      <c r="F421" s="31" t="s">
        <v>31</v>
      </c>
      <c r="G421" s="31" t="s">
        <v>32</v>
      </c>
      <c r="H421" s="31" t="s">
        <v>33</v>
      </c>
      <c r="I421" s="31" t="s">
        <v>34</v>
      </c>
      <c r="J421" s="32" t="s">
        <v>35</v>
      </c>
      <c r="K421" s="31" t="s">
        <v>36</v>
      </c>
      <c r="L421" s="31" t="s">
        <v>37</v>
      </c>
      <c r="M421" s="31" t="s">
        <v>38</v>
      </c>
      <c r="N421" s="31" t="s">
        <v>39</v>
      </c>
      <c r="O421" s="31" t="s">
        <v>40</v>
      </c>
    </row>
    <row r="422" ht="15.75">
      <c r="A422" t="s">
        <v>139</v>
      </c>
    </row>
    <row r="423" spans="1:2" ht="15.75">
      <c r="A423" t="s">
        <v>74</v>
      </c>
      <c r="B423" s="26">
        <f>0.005*0.004/0.0075/0.0082</f>
        <v>0.32520325203252026</v>
      </c>
    </row>
    <row r="424" spans="1:15" ht="15.75">
      <c r="A424">
        <v>1506</v>
      </c>
      <c r="B424" t="s">
        <v>44</v>
      </c>
      <c r="C424">
        <v>39</v>
      </c>
      <c r="D424">
        <v>1</v>
      </c>
      <c r="E424">
        <v>0.10507000000000001</v>
      </c>
      <c r="F424">
        <v>693732</v>
      </c>
      <c r="G424">
        <v>732323</v>
      </c>
      <c r="H424" s="33">
        <f>D424*F424/G424</f>
        <v>0.9473033074203596</v>
      </c>
      <c r="I424">
        <v>117963</v>
      </c>
      <c r="J424" s="1">
        <f>(I424*D424/H424+O424/N424)/E424/0.325</f>
        <v>3744388.150087127</v>
      </c>
      <c r="K424" s="1">
        <f>J424*G5/G2</f>
        <v>3751090.5155109116</v>
      </c>
      <c r="L424">
        <v>9432</v>
      </c>
      <c r="M424">
        <v>9905</v>
      </c>
      <c r="N424" s="33">
        <f>L424/M424</f>
        <v>0.952246340232206</v>
      </c>
      <c r="O424">
        <v>3178</v>
      </c>
    </row>
    <row r="425" spans="1:15" ht="15.75">
      <c r="A425">
        <v>1507</v>
      </c>
      <c r="B425" t="s">
        <v>56</v>
      </c>
      <c r="C425" s="11">
        <v>9</v>
      </c>
      <c r="D425">
        <v>1</v>
      </c>
      <c r="E425">
        <v>0.00209306</v>
      </c>
      <c r="F425">
        <v>35000</v>
      </c>
      <c r="G425">
        <v>37559</v>
      </c>
      <c r="H425" s="33">
        <f>D425*F425/G425</f>
        <v>0.9318671956122367</v>
      </c>
      <c r="I425">
        <v>6276</v>
      </c>
      <c r="J425" s="1">
        <f>(I425*D425/H425+O425/N425)/E425/0.325</f>
        <v>10067269.224766977</v>
      </c>
      <c r="K425" s="1">
        <f>J425-3751091*0.758</f>
        <v>7223942.246766977</v>
      </c>
      <c r="L425">
        <v>787</v>
      </c>
      <c r="M425">
        <v>866</v>
      </c>
      <c r="N425" s="33">
        <f>L425/M425</f>
        <v>0.9087759815242494</v>
      </c>
      <c r="O425">
        <v>103</v>
      </c>
    </row>
    <row r="426" spans="1:15" ht="15.75">
      <c r="A426" s="11">
        <v>1508</v>
      </c>
      <c r="B426" t="s">
        <v>56</v>
      </c>
      <c r="C426" s="11">
        <v>9.4</v>
      </c>
      <c r="D426">
        <v>1</v>
      </c>
      <c r="E426">
        <v>0.00947675</v>
      </c>
      <c r="F426">
        <v>159273</v>
      </c>
      <c r="G426">
        <v>170881</v>
      </c>
      <c r="H426" s="33">
        <f>D426*F426/G426</f>
        <v>0.9320696859217819</v>
      </c>
      <c r="I426">
        <v>28311</v>
      </c>
      <c r="J426" s="1">
        <f>(I426*D426/H426+O426/N426)/E426/0.325</f>
        <v>10017774.616607293</v>
      </c>
      <c r="K426" s="1">
        <f>J426-3751091*0.758</f>
        <v>7174447.638607293</v>
      </c>
      <c r="L426">
        <v>3461</v>
      </c>
      <c r="M426">
        <v>3732</v>
      </c>
      <c r="N426" s="33">
        <f>L426/M426</f>
        <v>0.927384780278671</v>
      </c>
      <c r="O426">
        <v>445</v>
      </c>
    </row>
    <row r="427" spans="1:15" ht="15.75">
      <c r="A427" s="11">
        <v>1509</v>
      </c>
      <c r="B427" t="s">
        <v>56</v>
      </c>
      <c r="C427" s="11">
        <v>19.7</v>
      </c>
      <c r="D427">
        <v>1</v>
      </c>
      <c r="E427">
        <v>0.018773599999999998</v>
      </c>
      <c r="F427">
        <v>289817</v>
      </c>
      <c r="G427">
        <v>333481</v>
      </c>
      <c r="H427" s="33">
        <f>D427*F427/G427</f>
        <v>0.8690660037603342</v>
      </c>
      <c r="I427">
        <v>52308</v>
      </c>
      <c r="J427" s="1">
        <f>(I427*D427/H427+O427/N427)/E427/0.325</f>
        <v>10014026.83013291</v>
      </c>
      <c r="K427" s="1">
        <f>J427-3751091*0.758</f>
        <v>7170699.852132909</v>
      </c>
      <c r="L427">
        <v>3087</v>
      </c>
      <c r="M427">
        <v>3542</v>
      </c>
      <c r="N427" s="33">
        <f>L427/M427</f>
        <v>0.8715415019762845</v>
      </c>
      <c r="O427">
        <v>794</v>
      </c>
    </row>
    <row r="428" spans="1:15" ht="15.75">
      <c r="A428" s="11">
        <v>1510</v>
      </c>
      <c r="B428" t="s">
        <v>56</v>
      </c>
      <c r="C428" s="11">
        <v>39</v>
      </c>
      <c r="D428">
        <v>2</v>
      </c>
      <c r="E428">
        <v>0.060951099999999994</v>
      </c>
      <c r="F428">
        <v>533589</v>
      </c>
      <c r="G428" s="8">
        <v>1119320</v>
      </c>
      <c r="H428" s="33">
        <f>D428*F428/G428</f>
        <v>0.9534163599328164</v>
      </c>
      <c r="I428">
        <v>92226</v>
      </c>
      <c r="J428" s="1">
        <f>(I428*D428/H428+O428/N428)/E428/0.325</f>
        <v>9914782.5944406</v>
      </c>
      <c r="K428" s="1">
        <f>J428-3751091*0.758</f>
        <v>7071455.6164406</v>
      </c>
      <c r="L428">
        <v>5202</v>
      </c>
      <c r="M428">
        <v>5732</v>
      </c>
      <c r="N428" s="33">
        <f>L428/M428</f>
        <v>0.907536636427076</v>
      </c>
      <c r="O428">
        <v>2667</v>
      </c>
    </row>
    <row r="429" spans="1:15" ht="15.75">
      <c r="A429" s="11">
        <v>1511</v>
      </c>
      <c r="B429" t="s">
        <v>56</v>
      </c>
      <c r="C429" s="11">
        <v>37.5</v>
      </c>
      <c r="D429">
        <v>2</v>
      </c>
      <c r="E429">
        <v>0.0605751</v>
      </c>
      <c r="F429">
        <v>533619</v>
      </c>
      <c r="G429" s="8">
        <v>1119190</v>
      </c>
      <c r="H429" s="33">
        <f>D429*F429/G429</f>
        <v>0.9535807146239691</v>
      </c>
      <c r="I429">
        <v>92162</v>
      </c>
      <c r="J429" s="1">
        <f>(I429*D429/H429+O429/N429)/E429/0.325</f>
        <v>9968861.561420264</v>
      </c>
      <c r="K429" s="1">
        <f>J429-3751091*0.758</f>
        <v>7125534.583420264</v>
      </c>
      <c r="L429">
        <v>5454</v>
      </c>
      <c r="M429">
        <v>5989</v>
      </c>
      <c r="N429" s="33">
        <f>L429/M429</f>
        <v>0.9106695608615796</v>
      </c>
      <c r="O429">
        <v>2695</v>
      </c>
    </row>
    <row r="430" spans="10:11" ht="15.75">
      <c r="J430" s="1" t="s">
        <v>140</v>
      </c>
      <c r="K430" s="1">
        <f>SUM(K425:K429)/5</f>
        <v>7153215.987473609</v>
      </c>
    </row>
    <row r="431" spans="1:15" ht="15.75">
      <c r="A431" s="27" t="s">
        <v>27</v>
      </c>
      <c r="B431" s="27" t="s">
        <v>28</v>
      </c>
      <c r="C431" s="27" t="s">
        <v>1</v>
      </c>
      <c r="D431" s="27" t="s">
        <v>29</v>
      </c>
      <c r="E431" s="27" t="s">
        <v>30</v>
      </c>
      <c r="F431" s="27" t="s">
        <v>31</v>
      </c>
      <c r="G431" s="27" t="s">
        <v>32</v>
      </c>
      <c r="H431" s="27" t="s">
        <v>33</v>
      </c>
      <c r="I431" s="27" t="s">
        <v>34</v>
      </c>
      <c r="J431" s="16" t="s">
        <v>35</v>
      </c>
      <c r="K431" s="27" t="s">
        <v>36</v>
      </c>
      <c r="L431" s="27" t="s">
        <v>37</v>
      </c>
      <c r="M431" s="27" t="s">
        <v>38</v>
      </c>
      <c r="N431" s="27" t="s">
        <v>39</v>
      </c>
      <c r="O431" s="27" t="s">
        <v>40</v>
      </c>
    </row>
    <row r="432" ht="15.75">
      <c r="A432" t="s">
        <v>141</v>
      </c>
    </row>
    <row r="433" spans="1:2" ht="15.75">
      <c r="A433" t="s">
        <v>74</v>
      </c>
      <c r="B433" s="9">
        <f>0.005*0.004/0.0075/0.0082</f>
        <v>0.32520325203252026</v>
      </c>
    </row>
    <row r="434" spans="1:15" ht="15.75">
      <c r="A434" s="11">
        <v>1490</v>
      </c>
      <c r="B434" t="s">
        <v>44</v>
      </c>
      <c r="C434" s="11">
        <v>24.3</v>
      </c>
      <c r="D434">
        <v>20</v>
      </c>
      <c r="E434">
        <v>0.00979967</v>
      </c>
      <c r="F434">
        <v>953</v>
      </c>
      <c r="G434">
        <v>19111</v>
      </c>
      <c r="H434" s="22">
        <f>D434*F434/G434</f>
        <v>0.9973313798336036</v>
      </c>
      <c r="I434">
        <v>104</v>
      </c>
      <c r="J434" s="1">
        <f>(I434*D434/H434+O434/N434)/E434/0.325</f>
        <v>674715.4148099794</v>
      </c>
      <c r="K434" s="1">
        <f>J434*G5/G2</f>
        <v>675923.1392994962</v>
      </c>
      <c r="L434">
        <v>1491</v>
      </c>
      <c r="M434">
        <v>1523</v>
      </c>
      <c r="N434" s="33">
        <f>L434/M434</f>
        <v>0.9789888378200919</v>
      </c>
      <c r="O434">
        <v>62</v>
      </c>
    </row>
    <row r="435" spans="1:15" ht="15.75">
      <c r="A435" s="11">
        <v>1491</v>
      </c>
      <c r="B435" t="s">
        <v>44</v>
      </c>
      <c r="C435" s="11">
        <v>38.4</v>
      </c>
      <c r="D435">
        <v>1</v>
      </c>
      <c r="E435">
        <v>0.112093</v>
      </c>
      <c r="F435">
        <v>206689</v>
      </c>
      <c r="G435">
        <v>217795</v>
      </c>
      <c r="H435" s="22">
        <f>D435*F435/G435</f>
        <v>0.9490070938267637</v>
      </c>
      <c r="I435">
        <v>23232</v>
      </c>
      <c r="J435" s="1">
        <f>(I435*D435/H435+O435/N435)/E435/0.325</f>
        <v>696041.5423636386</v>
      </c>
      <c r="K435" s="1">
        <f>J435*G5/G2</f>
        <v>697287.4401124998</v>
      </c>
      <c r="L435">
        <v>10370</v>
      </c>
      <c r="M435">
        <v>10848</v>
      </c>
      <c r="N435" s="33">
        <f>L435/M435</f>
        <v>0.9559365781710915</v>
      </c>
      <c r="O435">
        <v>838</v>
      </c>
    </row>
    <row r="436" spans="1:15" ht="15.75">
      <c r="A436" s="11">
        <v>1492</v>
      </c>
      <c r="B436" t="s">
        <v>44</v>
      </c>
      <c r="C436" s="11">
        <v>40</v>
      </c>
      <c r="D436">
        <v>1</v>
      </c>
      <c r="E436">
        <v>0.00542067</v>
      </c>
      <c r="F436">
        <v>13517</v>
      </c>
      <c r="G436">
        <v>14016</v>
      </c>
      <c r="H436" s="22">
        <f>D436*F436/G436</f>
        <v>0.9643978310502284</v>
      </c>
      <c r="I436">
        <v>1180</v>
      </c>
      <c r="J436" s="1">
        <f>(I436*D436/H436+O436/N436)/E436/0.325</f>
        <v>720603.1325658957</v>
      </c>
      <c r="K436" s="1">
        <f>J436*G5/G2</f>
        <v>721892.9949750233</v>
      </c>
      <c r="L436">
        <v>483</v>
      </c>
      <c r="M436">
        <v>516</v>
      </c>
      <c r="N436" s="33">
        <f>L436/M436</f>
        <v>0.936046511627907</v>
      </c>
      <c r="O436">
        <v>43</v>
      </c>
    </row>
    <row r="437" spans="1:15" ht="15.75">
      <c r="A437" s="11">
        <v>1493</v>
      </c>
      <c r="B437" t="s">
        <v>44</v>
      </c>
      <c r="C437" s="11">
        <v>39</v>
      </c>
      <c r="D437">
        <v>1</v>
      </c>
      <c r="E437">
        <v>0.0711815</v>
      </c>
      <c r="F437">
        <v>174733</v>
      </c>
      <c r="G437">
        <v>189086</v>
      </c>
      <c r="H437" s="22">
        <f>D437*F437/G437</f>
        <v>0.9240927408692341</v>
      </c>
      <c r="I437">
        <v>14331</v>
      </c>
      <c r="J437" s="1">
        <f>(I437*D437/H437+O437/N437)/E437/0.325</f>
        <v>695354.5633568976</v>
      </c>
      <c r="K437" s="1">
        <f>J437*G5/G2</f>
        <v>696599.2314297323</v>
      </c>
      <c r="L437">
        <v>6376</v>
      </c>
      <c r="M437">
        <v>6839</v>
      </c>
      <c r="N437" s="33">
        <f>L437/M437</f>
        <v>0.9323000438660622</v>
      </c>
      <c r="O437">
        <v>539</v>
      </c>
    </row>
    <row r="438" spans="1:15" ht="15.75">
      <c r="A438">
        <v>1502</v>
      </c>
      <c r="B438" t="s">
        <v>47</v>
      </c>
      <c r="C438">
        <v>38</v>
      </c>
      <c r="D438">
        <v>1</v>
      </c>
      <c r="E438">
        <v>0.0825303</v>
      </c>
      <c r="F438">
        <v>172021</v>
      </c>
      <c r="G438">
        <v>175320</v>
      </c>
      <c r="H438" s="22">
        <f>D438*F438/G438</f>
        <v>0.9811829796942734</v>
      </c>
      <c r="I438">
        <v>55915</v>
      </c>
      <c r="J438" s="1">
        <f>(I438*D438/H438+O438/N438)/E438</f>
        <v>715538.4241783626</v>
      </c>
      <c r="K438" s="1">
        <f>J438*G5/G2</f>
        <v>716819.2208803527</v>
      </c>
      <c r="L438">
        <v>7843</v>
      </c>
      <c r="M438">
        <v>7991</v>
      </c>
      <c r="N438" s="33">
        <f>L438/M438</f>
        <v>0.981479164059567</v>
      </c>
      <c r="O438">
        <v>2028</v>
      </c>
    </row>
    <row r="439" spans="1:15" ht="15.75">
      <c r="A439" s="11">
        <v>1494</v>
      </c>
      <c r="B439" t="s">
        <v>56</v>
      </c>
      <c r="C439" s="11">
        <v>10</v>
      </c>
      <c r="D439">
        <v>1</v>
      </c>
      <c r="E439">
        <v>0.00391324</v>
      </c>
      <c r="F439">
        <v>31356</v>
      </c>
      <c r="G439">
        <v>33306</v>
      </c>
      <c r="H439" s="33">
        <f>D439*F439/G439</f>
        <v>0.9414519906323185</v>
      </c>
      <c r="I439">
        <v>2671</v>
      </c>
      <c r="J439" s="2">
        <f>(I439*D439/H439+O439/N439)/E439/0.325</f>
        <v>2268858.7341215946</v>
      </c>
      <c r="K439" s="1">
        <f>J439-697926*0.657</f>
        <v>1810321.3521215946</v>
      </c>
      <c r="L439">
        <v>1402</v>
      </c>
      <c r="M439">
        <v>1509</v>
      </c>
      <c r="N439" s="33">
        <f>L439/M439</f>
        <v>0.92909211398277</v>
      </c>
      <c r="O439">
        <v>45</v>
      </c>
    </row>
    <row r="440" spans="1:15" ht="15.75">
      <c r="A440" s="11">
        <v>1495</v>
      </c>
      <c r="B440" t="s">
        <v>56</v>
      </c>
      <c r="C440" s="11">
        <v>18.8</v>
      </c>
      <c r="D440">
        <v>1</v>
      </c>
      <c r="E440">
        <v>0.0142464</v>
      </c>
      <c r="F440">
        <v>113760</v>
      </c>
      <c r="G440">
        <v>122576</v>
      </c>
      <c r="H440" s="33">
        <f>D440*F440/G440</f>
        <v>0.9280772745072445</v>
      </c>
      <c r="I440">
        <v>9557</v>
      </c>
      <c r="J440" s="2">
        <f>(I440*D440/H440+O440/N440)/E440/0.325</f>
        <v>2257608.2255287385</v>
      </c>
      <c r="K440" s="1">
        <f>J440-697926*0.657</f>
        <v>1799070.8435287385</v>
      </c>
      <c r="L440">
        <v>2610</v>
      </c>
      <c r="M440">
        <v>2834</v>
      </c>
      <c r="N440" s="33">
        <f>L440/M440</f>
        <v>0.9209597741707833</v>
      </c>
      <c r="O440">
        <v>143</v>
      </c>
    </row>
    <row r="441" spans="1:15" ht="15.75">
      <c r="A441" s="11">
        <v>1496</v>
      </c>
      <c r="B441" t="s">
        <v>56</v>
      </c>
      <c r="C441" s="11">
        <v>39</v>
      </c>
      <c r="D441">
        <v>1</v>
      </c>
      <c r="E441">
        <v>0.0703602</v>
      </c>
      <c r="F441">
        <v>622906</v>
      </c>
      <c r="G441">
        <v>674463</v>
      </c>
      <c r="H441" s="33">
        <f>D441*F441/G441</f>
        <v>0.9235584457561052</v>
      </c>
      <c r="I441">
        <v>46634</v>
      </c>
      <c r="J441" s="2">
        <f>(I441*D441/H441+O441/N441)/E441/0.325</f>
        <v>2243101.8284817794</v>
      </c>
      <c r="K441" s="1">
        <f>J441-697926*0.657</f>
        <v>1784564.4464817795</v>
      </c>
      <c r="L441">
        <v>6227</v>
      </c>
      <c r="M441">
        <v>6772</v>
      </c>
      <c r="N441" s="33">
        <f>L441/M441</f>
        <v>0.9195215593620791</v>
      </c>
      <c r="O441">
        <v>735</v>
      </c>
    </row>
    <row r="442" spans="1:15" ht="15.75">
      <c r="A442" s="11">
        <v>1497</v>
      </c>
      <c r="B442" t="s">
        <v>56</v>
      </c>
      <c r="C442" s="11">
        <v>38</v>
      </c>
      <c r="D442">
        <v>1</v>
      </c>
      <c r="E442">
        <v>0.07123449999999999</v>
      </c>
      <c r="F442">
        <v>624135</v>
      </c>
      <c r="G442">
        <v>674021</v>
      </c>
      <c r="H442" s="33">
        <f>D442*F442/G442</f>
        <v>0.9259874692331544</v>
      </c>
      <c r="I442">
        <v>47627</v>
      </c>
      <c r="J442" s="2">
        <f>(I442*D442/H442+O442/N442)/E442/0.325</f>
        <v>2258195.5712068584</v>
      </c>
      <c r="K442" s="1">
        <f>J442-697926*0.657</f>
        <v>1799658.1892068584</v>
      </c>
      <c r="L442">
        <v>6388</v>
      </c>
      <c r="M442">
        <v>6895</v>
      </c>
      <c r="N442" s="33">
        <f>L442/M442</f>
        <v>0.9264684554024656</v>
      </c>
      <c r="O442">
        <v>784</v>
      </c>
    </row>
    <row r="443" spans="1:15" ht="15.75">
      <c r="A443" s="11">
        <v>1498</v>
      </c>
      <c r="B443" t="s">
        <v>56</v>
      </c>
      <c r="C443" s="11">
        <v>36</v>
      </c>
      <c r="D443">
        <v>1</v>
      </c>
      <c r="E443">
        <v>0.07172339999999999</v>
      </c>
      <c r="F443">
        <v>624173</v>
      </c>
      <c r="G443">
        <v>672542</v>
      </c>
      <c r="H443" s="33">
        <f>D443*F443/G443</f>
        <v>0.9280803280687303</v>
      </c>
      <c r="I443">
        <v>47947</v>
      </c>
      <c r="J443" s="2">
        <f>(I443*D443/H443+O443/N443)/E443/0.325</f>
        <v>2253925.1822377867</v>
      </c>
      <c r="K443" s="1">
        <f>J443-697926*0.657</f>
        <v>1795387.8002377867</v>
      </c>
      <c r="L443">
        <v>6742</v>
      </c>
      <c r="M443">
        <v>7288</v>
      </c>
      <c r="N443" s="33">
        <f>L443/M443</f>
        <v>0.9250823271130626</v>
      </c>
      <c r="O443">
        <v>811</v>
      </c>
    </row>
    <row r="444" spans="1:15" ht="15.75">
      <c r="A444" s="11">
        <v>1499</v>
      </c>
      <c r="B444" t="s">
        <v>56</v>
      </c>
      <c r="C444" s="11">
        <v>37</v>
      </c>
      <c r="D444">
        <v>1</v>
      </c>
      <c r="E444">
        <v>0.07190679999999999</v>
      </c>
      <c r="F444">
        <v>623504</v>
      </c>
      <c r="G444">
        <v>671315</v>
      </c>
      <c r="H444" s="33">
        <f>D444*F444/G444</f>
        <v>0.9287800808860223</v>
      </c>
      <c r="I444">
        <v>47994</v>
      </c>
      <c r="J444" s="2">
        <f>(I444*D444/H444+O444/N444)/E444/0.325</f>
        <v>2247114.623576911</v>
      </c>
      <c r="K444" s="1">
        <f>J444-697926*0.657</f>
        <v>1788577.2415769112</v>
      </c>
      <c r="L444">
        <v>6710</v>
      </c>
      <c r="M444">
        <v>7237</v>
      </c>
      <c r="N444" s="33">
        <f>L444/M444</f>
        <v>0.9271797706231864</v>
      </c>
      <c r="O444">
        <v>779</v>
      </c>
    </row>
    <row r="445" spans="1:15" ht="15.75">
      <c r="A445" s="11">
        <v>1500</v>
      </c>
      <c r="B445" t="s">
        <v>56</v>
      </c>
      <c r="C445" s="11">
        <v>36</v>
      </c>
      <c r="D445">
        <v>1</v>
      </c>
      <c r="E445">
        <v>0.0672629</v>
      </c>
      <c r="F445">
        <v>635110</v>
      </c>
      <c r="G445">
        <v>686546</v>
      </c>
      <c r="H445" s="33">
        <f>D445*F445/G445</f>
        <v>0.9250800383368339</v>
      </c>
      <c r="I445">
        <v>45367</v>
      </c>
      <c r="J445" s="2">
        <f>(I445*D445/H445+O445/N445)/E445/0.325</f>
        <v>2280048.18201214</v>
      </c>
      <c r="K445" s="1">
        <f>J445-697926*0.657</f>
        <v>1821510.8000121398</v>
      </c>
      <c r="L445">
        <v>6341</v>
      </c>
      <c r="M445">
        <v>6879</v>
      </c>
      <c r="N445" s="33">
        <f>L445/M445</f>
        <v>0.9217909579880796</v>
      </c>
      <c r="O445">
        <v>739</v>
      </c>
    </row>
    <row r="446" spans="1:15" ht="15.75">
      <c r="A446" s="11">
        <v>1501</v>
      </c>
      <c r="B446" t="s">
        <v>56</v>
      </c>
      <c r="C446" s="11">
        <v>14</v>
      </c>
      <c r="D446">
        <v>1</v>
      </c>
      <c r="E446">
        <v>0.0230238</v>
      </c>
      <c r="F446">
        <v>207189</v>
      </c>
      <c r="G446">
        <v>214113</v>
      </c>
      <c r="H446" s="33">
        <f>D446*F446/G446</f>
        <v>0.9676619355200291</v>
      </c>
      <c r="I446">
        <v>16143</v>
      </c>
      <c r="J446" s="2">
        <f>(I446*D446/H446+O446/N446)/E446/0.325</f>
        <v>2266441.276617936</v>
      </c>
      <c r="K446" s="1">
        <f>J446-697926*0.657</f>
        <v>1807903.8946179359</v>
      </c>
      <c r="L446">
        <v>5764</v>
      </c>
      <c r="M446">
        <v>5929</v>
      </c>
      <c r="N446" s="33">
        <f>L446/M446</f>
        <v>0.9721706864564007</v>
      </c>
      <c r="O446">
        <v>269</v>
      </c>
    </row>
    <row r="447" spans="10:11" ht="15.75">
      <c r="J447" s="1" t="s">
        <v>140</v>
      </c>
      <c r="K447" s="1">
        <f>SUM(K439:K446)/8</f>
        <v>1800874.3209729681</v>
      </c>
    </row>
    <row r="449" spans="8:11" ht="15.75">
      <c r="H449" s="33">
        <f>110.9*COS(30.59/57.295)</f>
        <v>95.46573225221314</v>
      </c>
      <c r="J449" s="1" t="s">
        <v>142</v>
      </c>
      <c r="K449" s="1">
        <f>SUM(K434:K437)/4</f>
        <v>697925.7014541879</v>
      </c>
    </row>
    <row r="450" spans="10:11" ht="15.75">
      <c r="J450" s="1" t="s">
        <v>143</v>
      </c>
      <c r="K450" s="9">
        <f>715538/697926</f>
        <v>1.025234767009683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425:K429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425:K429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Aniol</dc:creator>
  <cp:keywords/>
  <dc:description/>
  <cp:lastModifiedBy>Konrad Aniol</cp:lastModifiedBy>
  <dcterms:created xsi:type="dcterms:W3CDTF">2010-05-27T18:40:26Z</dcterms:created>
  <dcterms:modified xsi:type="dcterms:W3CDTF">2010-09-10T01:15:53Z</dcterms:modified>
  <cp:category/>
  <cp:version/>
  <cp:contentType/>
  <cp:contentStatus/>
  <cp:revision>381</cp:revision>
</cp:coreProperties>
</file>