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<sst xmlns="http://schemas.openxmlformats.org/spreadsheetml/2006/main" count="154" uniqueCount="120">
  <si>
    <t>Heat Exchanger Calculations</t>
  </si>
  <si>
    <t>Inside Heat Trasfer Coefficient</t>
  </si>
  <si>
    <t>Area of flow inside the tube (1/2" O.D,0.049 thk) Ai</t>
  </si>
  <si>
    <t xml:space="preserve"> Ai</t>
  </si>
  <si>
    <t>Mass Flow Rate per Unit Area</t>
  </si>
  <si>
    <t>Gi</t>
  </si>
  <si>
    <t>µ(viscosity)</t>
  </si>
  <si>
    <t xml:space="preserve">Prandtl Number </t>
  </si>
  <si>
    <t>Specific Heat(KJ/KgK)</t>
  </si>
  <si>
    <t>Reynolds Number (Di*Gi/µ)</t>
  </si>
  <si>
    <t>Re</t>
  </si>
  <si>
    <t>Di</t>
  </si>
  <si>
    <t>meters</t>
  </si>
  <si>
    <t>Bc</t>
  </si>
  <si>
    <t>Dm</t>
  </si>
  <si>
    <t>Colburn J-Factor</t>
  </si>
  <si>
    <t>Jh</t>
  </si>
  <si>
    <t xml:space="preserve">Convective Heat Transfer Coefiicient </t>
  </si>
  <si>
    <t>hi</t>
  </si>
  <si>
    <t>W/m2K</t>
  </si>
  <si>
    <t>Units</t>
  </si>
  <si>
    <r>
      <t xml:space="preserve">Assuming Gas Temp as </t>
    </r>
    <r>
      <rPr>
        <b/>
        <sz val="10"/>
        <rFont val="Arial"/>
        <family val="2"/>
      </rPr>
      <t>195 K</t>
    </r>
  </si>
  <si>
    <t>Outside Heat Trasfer Coefficient</t>
  </si>
  <si>
    <r>
      <t xml:space="preserve">Assuming Gas Temp as </t>
    </r>
    <r>
      <rPr>
        <b/>
        <sz val="10"/>
        <rFont val="Arial"/>
        <family val="2"/>
      </rPr>
      <t>190 K</t>
    </r>
  </si>
  <si>
    <t>Inside Dia</t>
  </si>
  <si>
    <t>m2</t>
  </si>
  <si>
    <t>kg/m2s</t>
  </si>
  <si>
    <t>Overall Heat Trasfer Coefficient</t>
  </si>
  <si>
    <t xml:space="preserve">Overall Heat Transfer Coefficient </t>
  </si>
  <si>
    <t>Uo</t>
  </si>
  <si>
    <t>ho</t>
  </si>
  <si>
    <t>Do</t>
  </si>
  <si>
    <t>Mean Dia</t>
  </si>
  <si>
    <t>Thermal Conductivity Of Copper</t>
  </si>
  <si>
    <t>Kw</t>
  </si>
  <si>
    <t>W/mK</t>
  </si>
  <si>
    <t>Outer Diameter Of tube</t>
  </si>
  <si>
    <t>UoAo</t>
  </si>
  <si>
    <t xml:space="preserve"> Ao</t>
  </si>
  <si>
    <t xml:space="preserve">Area of flow outside the tube </t>
  </si>
  <si>
    <t>Aoverall</t>
  </si>
  <si>
    <t>W/k</t>
  </si>
  <si>
    <t>NTU*Cmin=UoAoverall</t>
  </si>
  <si>
    <t>NTU</t>
  </si>
  <si>
    <t>Cmin</t>
  </si>
  <si>
    <t>W/K</t>
  </si>
  <si>
    <t>Surface Temperatures</t>
  </si>
  <si>
    <t>Th,ave</t>
  </si>
  <si>
    <t>Tc,ave</t>
  </si>
  <si>
    <t>Thw</t>
  </si>
  <si>
    <t>Average temperature of Hot Wall</t>
  </si>
  <si>
    <t>K</t>
  </si>
  <si>
    <t>Average temperature of Cold Wall</t>
  </si>
  <si>
    <t>Tcw</t>
  </si>
  <si>
    <t>Thm</t>
  </si>
  <si>
    <t>Tcm</t>
  </si>
  <si>
    <t>The mean hot film Temperature</t>
  </si>
  <si>
    <t>The mean cold film Temperature</t>
  </si>
  <si>
    <t>Used Temperatures</t>
  </si>
  <si>
    <t xml:space="preserve">Number Of Tube Passages </t>
  </si>
  <si>
    <t>Np</t>
  </si>
  <si>
    <t>NTU per pass</t>
  </si>
  <si>
    <t>N</t>
  </si>
  <si>
    <t>Pass Effectiveness(1-ξp)=exp{-(1/Cr)[1-exp(-NTUCr/Np)]}</t>
  </si>
  <si>
    <t>(1-ξp)</t>
  </si>
  <si>
    <t>Cr</t>
  </si>
  <si>
    <t>ξp</t>
  </si>
  <si>
    <t>ξ</t>
  </si>
  <si>
    <t>Tc2</t>
  </si>
  <si>
    <t>Temperature of Cold return ξ=(Tc2-Tc1)/Th1-Tc1)</t>
  </si>
  <si>
    <t xml:space="preserve">Effectiveness of Counter Flow Heat Exchanger </t>
  </si>
  <si>
    <t>ξ=(1-exp(-NTU(1-Cr))/(1-Cr*exp(-NTU(1-Cr))</t>
  </si>
  <si>
    <t>Temperature difference of two gases</t>
  </si>
  <si>
    <t>ΔT</t>
  </si>
  <si>
    <t>Outer Radius</t>
  </si>
  <si>
    <t>Inner radius</t>
  </si>
  <si>
    <t>Thickness of the Fin</t>
  </si>
  <si>
    <t>t</t>
  </si>
  <si>
    <t xml:space="preserve">Thermal conductivity Of Copper </t>
  </si>
  <si>
    <t xml:space="preserve">Heat Transfer Coefficient </t>
  </si>
  <si>
    <t>Calculating the Heat Loss Through Fins</t>
  </si>
  <si>
    <t>m</t>
  </si>
  <si>
    <t>m=sqrt(2*ho/K*t)</t>
  </si>
  <si>
    <t>re</t>
  </si>
  <si>
    <t>ro</t>
  </si>
  <si>
    <t>mre</t>
  </si>
  <si>
    <t>mro</t>
  </si>
  <si>
    <t>Qo</t>
  </si>
  <si>
    <t>Qtot</t>
  </si>
  <si>
    <t>DT</t>
  </si>
  <si>
    <t>Heat Dissipation from One fin</t>
  </si>
  <si>
    <t>Tc1</t>
  </si>
  <si>
    <t>Th1</t>
  </si>
  <si>
    <t>Th2</t>
  </si>
  <si>
    <t>Q=mcpdth=mcpdtc</t>
  </si>
  <si>
    <t>Tcavg</t>
  </si>
  <si>
    <t>Thavg</t>
  </si>
  <si>
    <t>Dtavg</t>
  </si>
  <si>
    <t>Total of 19351 fins</t>
  </si>
  <si>
    <t xml:space="preserve">Heat calculated from mcpdt is </t>
  </si>
  <si>
    <t>Q</t>
  </si>
  <si>
    <t>Heat Dissipation from Copper Tube</t>
  </si>
  <si>
    <t>Qcu,tube</t>
  </si>
  <si>
    <t xml:space="preserve">Total Heat from fins and Copper tube </t>
  </si>
  <si>
    <t>Qfins</t>
  </si>
  <si>
    <t>Qtotal</t>
  </si>
  <si>
    <t>W</t>
  </si>
  <si>
    <t>t=.035</t>
  </si>
  <si>
    <t xml:space="preserve">Area occupied by one fin </t>
  </si>
  <si>
    <t>Afin</t>
  </si>
  <si>
    <t>A,690 fins</t>
  </si>
  <si>
    <t>Mass Flow Area for 80 K Gas</t>
  </si>
  <si>
    <t>Ao</t>
  </si>
  <si>
    <t>Area Occupied by 690 fins(One turn occupies 690 fins)</t>
  </si>
  <si>
    <t>Total Surface Area of 1/2in tube</t>
  </si>
  <si>
    <t>Total Surface Area of 19351 fins</t>
  </si>
  <si>
    <t>Atube</t>
  </si>
  <si>
    <t>Afins</t>
  </si>
  <si>
    <t>Over All Heat transfer Area(Atube+Afins)</t>
  </si>
  <si>
    <t>thickness of fin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</si>
</sst>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sz val="10"/>
      <name val="Letter Gothic"/>
      <family val="3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61">
      <selection activeCell="I88" sqref="I88"/>
    </sheetView>
  </sheetViews>
  <sheetFormatPr defaultColWidth="9.140625" defaultRowHeight="12.75"/>
  <cols>
    <col min="2" max="2" width="11.57421875" style="0" customWidth="1"/>
    <col min="3" max="3" width="10.00390625" style="0" bestFit="1" customWidth="1"/>
    <col min="7" max="7" width="12.421875" style="0" bestFit="1" customWidth="1"/>
  </cols>
  <sheetData>
    <row r="1" spans="1:11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2.75">
      <c r="H2" s="1" t="s">
        <v>20</v>
      </c>
    </row>
    <row r="3" ht="15">
      <c r="A3" s="4" t="s">
        <v>1</v>
      </c>
    </row>
    <row r="4" ht="15">
      <c r="A4" s="2"/>
    </row>
    <row r="5" ht="12.75">
      <c r="A5" t="s">
        <v>21</v>
      </c>
    </row>
    <row r="6" spans="1:3" ht="12.75">
      <c r="A6" t="s">
        <v>6</v>
      </c>
      <c r="C6">
        <f>15/1000000</f>
        <v>1.5E-05</v>
      </c>
    </row>
    <row r="7" spans="1:3" ht="12.75">
      <c r="A7" t="s">
        <v>7</v>
      </c>
      <c r="C7">
        <v>0.667</v>
      </c>
    </row>
    <row r="8" spans="1:3" ht="12.75">
      <c r="A8" t="s">
        <v>8</v>
      </c>
      <c r="C8">
        <v>5194</v>
      </c>
    </row>
    <row r="9" spans="1:8" ht="12.75">
      <c r="A9" t="s">
        <v>2</v>
      </c>
      <c r="F9" t="s">
        <v>3</v>
      </c>
      <c r="G9">
        <f>(PI()/4)*(POWER((G10),2))</f>
        <v>8.176163054812109E-05</v>
      </c>
      <c r="H9" t="s">
        <v>25</v>
      </c>
    </row>
    <row r="10" spans="1:8" ht="12.75">
      <c r="A10" t="s">
        <v>24</v>
      </c>
      <c r="F10" t="s">
        <v>11</v>
      </c>
      <c r="G10">
        <f>0.402/39.4</f>
        <v>0.010203045685279188</v>
      </c>
      <c r="H10" t="s">
        <v>12</v>
      </c>
    </row>
    <row r="11" spans="1:8" ht="12.75">
      <c r="A11" t="s">
        <v>4</v>
      </c>
      <c r="F11" t="s">
        <v>5</v>
      </c>
      <c r="G11">
        <f>(0.01/G9)</f>
        <v>122.30675847535191</v>
      </c>
      <c r="H11" t="s">
        <v>26</v>
      </c>
    </row>
    <row r="12" spans="1:7" ht="12.75">
      <c r="A12" t="s">
        <v>9</v>
      </c>
      <c r="F12" t="s">
        <v>10</v>
      </c>
      <c r="G12">
        <f>(G10*G11)/C6</f>
        <v>83193.42962282822</v>
      </c>
    </row>
    <row r="13" spans="6:8" ht="12.75">
      <c r="F13" t="s">
        <v>14</v>
      </c>
      <c r="G13">
        <f>5.375/39.4</f>
        <v>0.13642131979695432</v>
      </c>
      <c r="H13" t="s">
        <v>12</v>
      </c>
    </row>
    <row r="14" spans="6:7" ht="12.75">
      <c r="F14" t="s">
        <v>13</v>
      </c>
      <c r="G14">
        <f>(1+(3.6*(1-(G10/G13))*(POWER((G10/G13),0.8))))</f>
        <v>1.4184278269984358</v>
      </c>
    </row>
    <row r="15" spans="1:7" ht="12.75">
      <c r="A15" t="s">
        <v>15</v>
      </c>
      <c r="F15" t="s">
        <v>16</v>
      </c>
      <c r="G15">
        <f>(0.023*(POWER(G12,-0.2))*G14)</f>
        <v>0.003384677334064302</v>
      </c>
    </row>
    <row r="16" spans="6:8" ht="12.75">
      <c r="F16" s="3" t="s">
        <v>18</v>
      </c>
      <c r="G16" s="3">
        <f>(G15*C8*G11)/(POWER(C7,(2/3)))</f>
        <v>2816.560721865421</v>
      </c>
      <c r="H16" s="3" t="s">
        <v>19</v>
      </c>
    </row>
    <row r="17" spans="1:8" ht="12.75">
      <c r="A17" t="s">
        <v>36</v>
      </c>
      <c r="F17" t="s">
        <v>31</v>
      </c>
      <c r="G17">
        <f>0.5/39.4</f>
        <v>0.012690355329949238</v>
      </c>
      <c r="H17" t="s">
        <v>12</v>
      </c>
    </row>
    <row r="19" ht="15">
      <c r="A19" s="4" t="s">
        <v>22</v>
      </c>
    </row>
    <row r="20" spans="5:9" ht="12.75">
      <c r="E20" t="s">
        <v>119</v>
      </c>
      <c r="G20">
        <v>0.02</v>
      </c>
      <c r="I20">
        <v>0.035</v>
      </c>
    </row>
    <row r="21" ht="12.75">
      <c r="A21" t="s">
        <v>23</v>
      </c>
    </row>
    <row r="22" spans="1:3" ht="12.75">
      <c r="A22" t="s">
        <v>6</v>
      </c>
      <c r="C22">
        <f>14.8/1000000</f>
        <v>1.48E-05</v>
      </c>
    </row>
    <row r="23" spans="1:3" ht="12.75">
      <c r="A23" t="s">
        <v>7</v>
      </c>
      <c r="C23">
        <v>0.667</v>
      </c>
    </row>
    <row r="24" spans="1:3" ht="12.75">
      <c r="A24" t="s">
        <v>8</v>
      </c>
      <c r="C24">
        <v>5193</v>
      </c>
    </row>
    <row r="25" spans="1:9" ht="12.75">
      <c r="A25" t="s">
        <v>108</v>
      </c>
      <c r="F25" t="s">
        <v>109</v>
      </c>
      <c r="G25">
        <f>2*0.25*G20/(39.4*39.4)</f>
        <v>6.441804736014843E-06</v>
      </c>
      <c r="H25" t="s">
        <v>25</v>
      </c>
      <c r="I25">
        <f>2*0.25*I20/(39.4*39.4)</f>
        <v>1.1273158288025975E-05</v>
      </c>
    </row>
    <row r="26" spans="1:9" ht="12.75">
      <c r="A26" t="s">
        <v>113</v>
      </c>
      <c r="F26" t="s">
        <v>110</v>
      </c>
      <c r="G26">
        <f>690*G25</f>
        <v>0.004444845267850241</v>
      </c>
      <c r="I26">
        <f>690*I25</f>
        <v>0.007778479218737923</v>
      </c>
    </row>
    <row r="27" spans="1:9" ht="12.75">
      <c r="A27" t="s">
        <v>111</v>
      </c>
      <c r="F27" t="s">
        <v>112</v>
      </c>
      <c r="G27">
        <f>((PI()*(36-25)/POWER(39.4,2))-(((PI()*(POWER(5.75,2)-POWER(5.25,2)))/(POWER(39.4,2)))+G26))</f>
        <v>0.006685794271138048</v>
      </c>
      <c r="I27">
        <f>((PI()*(36-25)/POWER(39.4,2))-(((PI()*(POWER(5.75,2)-POWER(5.25,2)))/(POWER(39.4,2)))+I26))</f>
        <v>0.0033521603202503678</v>
      </c>
    </row>
    <row r="28" spans="1:9" ht="12.75">
      <c r="A28" t="s">
        <v>39</v>
      </c>
      <c r="F28" t="s">
        <v>38</v>
      </c>
      <c r="G28">
        <f>G27</f>
        <v>0.006685794271138048</v>
      </c>
      <c r="H28" t="s">
        <v>25</v>
      </c>
      <c r="I28">
        <f>I27</f>
        <v>0.0033521603202503678</v>
      </c>
    </row>
    <row r="29" spans="1:9" ht="12.75">
      <c r="A29" t="s">
        <v>32</v>
      </c>
      <c r="F29" t="s">
        <v>14</v>
      </c>
      <c r="G29">
        <f>5.5/39.4</f>
        <v>0.13959390862944163</v>
      </c>
      <c r="H29" t="s">
        <v>12</v>
      </c>
      <c r="I29">
        <f>5.5/39.4</f>
        <v>0.13959390862944163</v>
      </c>
    </row>
    <row r="30" spans="1:9" ht="12.75">
      <c r="A30" t="s">
        <v>4</v>
      </c>
      <c r="F30" t="s">
        <v>5</v>
      </c>
      <c r="G30">
        <f>0.01/G28</f>
        <v>1.4957086016195669</v>
      </c>
      <c r="H30" t="s">
        <v>26</v>
      </c>
      <c r="I30">
        <f>0.01/I28</f>
        <v>2.983150877238806</v>
      </c>
    </row>
    <row r="31" spans="1:9" ht="12.75">
      <c r="A31" t="s">
        <v>9</v>
      </c>
      <c r="F31" t="s">
        <v>10</v>
      </c>
      <c r="G31">
        <f>(G29*G30)/C22</f>
        <v>14107.554720996737</v>
      </c>
      <c r="I31">
        <f>(I29*I30)/C22</f>
        <v>28137.14128277787</v>
      </c>
    </row>
    <row r="32" spans="1:9" ht="12.75">
      <c r="A32" t="s">
        <v>15</v>
      </c>
      <c r="F32" t="s">
        <v>16</v>
      </c>
      <c r="G32">
        <f>(0.193*(POWER(G31,-0.382)))</f>
        <v>0.005017261568321812</v>
      </c>
      <c r="I32">
        <f>(0.193*(POWER(I31,-0.382)))</f>
        <v>0.003854183252823189</v>
      </c>
    </row>
    <row r="33" spans="1:9" ht="12.75">
      <c r="A33" t="s">
        <v>17</v>
      </c>
      <c r="F33" s="3" t="s">
        <v>30</v>
      </c>
      <c r="G33" s="3">
        <f>(G30*C24*G32)/(POWER(C23,(2/3)))</f>
        <v>51.048325506042175</v>
      </c>
      <c r="H33" s="3" t="s">
        <v>19</v>
      </c>
      <c r="I33" s="3">
        <f>(I30*C24*I32)/(POWER(C23,(2/3)))</f>
        <v>78.21235190159462</v>
      </c>
    </row>
    <row r="34" spans="1:9" ht="12.75">
      <c r="A34" t="s">
        <v>33</v>
      </c>
      <c r="F34" t="s">
        <v>34</v>
      </c>
      <c r="G34">
        <v>400</v>
      </c>
      <c r="H34" t="s">
        <v>35</v>
      </c>
      <c r="I34">
        <v>400</v>
      </c>
    </row>
    <row r="36" ht="15">
      <c r="A36" s="4" t="s">
        <v>27</v>
      </c>
    </row>
    <row r="38" spans="1:9" ht="12.75">
      <c r="A38" t="s">
        <v>28</v>
      </c>
      <c r="F38" s="3" t="s">
        <v>29</v>
      </c>
      <c r="G38" s="3">
        <f>1/((1/G33)+((G17/(2*G34))*LN((G17/G10)))+((G17/G10)/G16))</f>
        <v>49.91430354945764</v>
      </c>
      <c r="H38" s="3" t="s">
        <v>19</v>
      </c>
      <c r="I38" s="3">
        <f>1/((1/I33)+((G17/(2*I34))*LN((G17/G10)))+((G17/G10)/G16))</f>
        <v>75.58144498400077</v>
      </c>
    </row>
    <row r="39" spans="1:9" ht="12.75">
      <c r="A39" t="s">
        <v>114</v>
      </c>
      <c r="F39" s="3" t="s">
        <v>116</v>
      </c>
      <c r="G39" s="3">
        <f>PI()*0.5*24.558/39.4</f>
        <v>0.9790765531327176</v>
      </c>
      <c r="H39" s="3"/>
      <c r="I39" s="3">
        <f>PI()*0.5*24.558/39.4</f>
        <v>0.9790765531327176</v>
      </c>
    </row>
    <row r="40" spans="1:9" ht="12.75">
      <c r="A40" t="s">
        <v>115</v>
      </c>
      <c r="F40" s="3" t="s">
        <v>117</v>
      </c>
      <c r="G40" s="3">
        <f>(PI()*(POWER(0.5,2)-POWER(0.25,2))/(POWER(39.4,2))*2+((PI()*1*0.02)/POWER(39.4,2)))</f>
        <v>0.0007993822941637045</v>
      </c>
      <c r="H40" s="3"/>
      <c r="I40" s="3">
        <f>(PI()*(POWER(0.5,2)-POWER(0.25,2))/(POWER(39.4,2))*2+((PI()*1*0.02)/POWER(39.4,2)))</f>
        <v>0.0007993822941637045</v>
      </c>
    </row>
    <row r="41" spans="1:9" ht="12.75">
      <c r="A41" t="s">
        <v>118</v>
      </c>
      <c r="F41" t="s">
        <v>40</v>
      </c>
      <c r="G41">
        <f>G39+19351*G40</f>
        <v>16.447923327494564</v>
      </c>
      <c r="H41" t="s">
        <v>25</v>
      </c>
      <c r="I41">
        <f>I39+19351*I40</f>
        <v>16.447923327494564</v>
      </c>
    </row>
    <row r="42" spans="6:9" ht="12.75">
      <c r="F42" t="s">
        <v>37</v>
      </c>
      <c r="G42">
        <f>G38*G41</f>
        <v>820.9866377267691</v>
      </c>
      <c r="H42" t="s">
        <v>41</v>
      </c>
      <c r="I42">
        <f>I38*I41</f>
        <v>1243.1578120780932</v>
      </c>
    </row>
    <row r="43" spans="6:9" ht="12.75">
      <c r="F43" t="s">
        <v>44</v>
      </c>
      <c r="G43">
        <v>51.93</v>
      </c>
      <c r="H43" t="s">
        <v>45</v>
      </c>
      <c r="I43">
        <v>51.93</v>
      </c>
    </row>
    <row r="44" spans="1:9" ht="12.75">
      <c r="A44" t="s">
        <v>42</v>
      </c>
      <c r="F44" s="3" t="s">
        <v>43</v>
      </c>
      <c r="G44" s="3">
        <f>G42/G43</f>
        <v>15.809486572824362</v>
      </c>
      <c r="I44" s="3">
        <f>I42/I43</f>
        <v>23.93910672208922</v>
      </c>
    </row>
    <row r="46" ht="12.75">
      <c r="A46" t="s">
        <v>46</v>
      </c>
    </row>
    <row r="47" spans="1:2" ht="12.75">
      <c r="A47" t="s">
        <v>47</v>
      </c>
      <c r="B47">
        <v>192.5</v>
      </c>
    </row>
    <row r="48" spans="1:2" ht="12.75">
      <c r="A48" t="s">
        <v>48</v>
      </c>
      <c r="B48">
        <v>187.4375</v>
      </c>
    </row>
    <row r="49" spans="1:8" ht="12.75">
      <c r="A49" t="s">
        <v>50</v>
      </c>
      <c r="F49" t="s">
        <v>49</v>
      </c>
      <c r="G49">
        <f>((B47)-((G38*G17)/(G16*G10))*(B47-B48))</f>
        <v>192.38841267036761</v>
      </c>
      <c r="H49" t="s">
        <v>51</v>
      </c>
    </row>
    <row r="50" spans="1:8" ht="12.75">
      <c r="A50" t="s">
        <v>52</v>
      </c>
      <c r="F50" t="s">
        <v>53</v>
      </c>
      <c r="G50">
        <f>((B48)+((G38/G33)*(B47-B48)))</f>
        <v>192.38753820819196</v>
      </c>
      <c r="H50" t="s">
        <v>51</v>
      </c>
    </row>
    <row r="52" ht="12.75">
      <c r="H52" s="1" t="s">
        <v>58</v>
      </c>
    </row>
    <row r="53" spans="1:8" ht="12.75">
      <c r="A53" t="s">
        <v>56</v>
      </c>
      <c r="F53" t="s">
        <v>54</v>
      </c>
      <c r="G53">
        <f>(B47+G49)/2</f>
        <v>192.44420633518382</v>
      </c>
      <c r="H53">
        <v>195</v>
      </c>
    </row>
    <row r="54" spans="1:8" ht="12.75">
      <c r="A54" t="s">
        <v>57</v>
      </c>
      <c r="F54" t="s">
        <v>55</v>
      </c>
      <c r="G54">
        <f>(B48+G50)/2</f>
        <v>189.91251910409596</v>
      </c>
      <c r="H54">
        <v>190</v>
      </c>
    </row>
    <row r="57" spans="1:9" ht="12.75">
      <c r="A57" t="s">
        <v>59</v>
      </c>
      <c r="F57" t="s">
        <v>62</v>
      </c>
      <c r="G57">
        <v>28</v>
      </c>
      <c r="I57">
        <v>28</v>
      </c>
    </row>
    <row r="58" spans="1:9" ht="12.75">
      <c r="A58" t="s">
        <v>61</v>
      </c>
      <c r="F58" t="s">
        <v>60</v>
      </c>
      <c r="G58">
        <f>G44/G57</f>
        <v>0.5646245204580129</v>
      </c>
      <c r="I58">
        <f>I44/I57</f>
        <v>0.8549680972174721</v>
      </c>
    </row>
    <row r="59" spans="1:9" ht="12.75">
      <c r="A59" t="s">
        <v>65</v>
      </c>
      <c r="F59" t="s">
        <v>65</v>
      </c>
      <c r="G59">
        <f>0.5193/0.5196</f>
        <v>0.9994226327944573</v>
      </c>
      <c r="I59">
        <f>0.5193/0.5196</f>
        <v>0.9994226327944573</v>
      </c>
    </row>
    <row r="61" ht="12.75">
      <c r="A61" t="s">
        <v>70</v>
      </c>
    </row>
    <row r="62" spans="1:11" ht="12.75">
      <c r="A62" t="s">
        <v>71</v>
      </c>
      <c r="F62" t="s">
        <v>67</v>
      </c>
      <c r="G62">
        <f>(1-EXP(-G44*(1-G59)))/((1-(G59*EXP(-G44*(1-G59)))))</f>
        <v>0.9407648214709151</v>
      </c>
      <c r="I62">
        <f>(1-EXP(-I44*(1-I59)))/((1-(I59*EXP(-I44*(1-I59)))))</f>
        <v>0.9601677901817918</v>
      </c>
      <c r="K62">
        <f>(1-EXP(-K44*(1-K59)))/((1-(K59*EXP(-K44*(1-K59)))))</f>
        <v>0</v>
      </c>
    </row>
    <row r="64" spans="1:9" ht="12.75">
      <c r="A64" t="s">
        <v>69</v>
      </c>
      <c r="F64" s="3" t="s">
        <v>68</v>
      </c>
      <c r="G64" s="3">
        <f>(G62*(300-80))+80</f>
        <v>286.96826072360136</v>
      </c>
      <c r="I64" s="3">
        <f>(I62*(300-80))+80</f>
        <v>291.2369138399942</v>
      </c>
    </row>
    <row r="65" spans="6:9" ht="12.75">
      <c r="F65" t="s">
        <v>91</v>
      </c>
      <c r="G65">
        <v>80</v>
      </c>
      <c r="I65">
        <v>80</v>
      </c>
    </row>
    <row r="66" spans="6:9" ht="12.75">
      <c r="F66" t="s">
        <v>92</v>
      </c>
      <c r="G66">
        <v>300</v>
      </c>
      <c r="I66">
        <v>300</v>
      </c>
    </row>
    <row r="67" spans="1:9" ht="12.75">
      <c r="A67" t="s">
        <v>94</v>
      </c>
      <c r="F67" t="s">
        <v>93</v>
      </c>
      <c r="G67">
        <v>93</v>
      </c>
      <c r="I67">
        <v>93</v>
      </c>
    </row>
    <row r="68" spans="6:9" ht="12.75">
      <c r="F68" t="s">
        <v>95</v>
      </c>
      <c r="G68">
        <f>(G64+G65)/2</f>
        <v>183.48413036180068</v>
      </c>
      <c r="I68">
        <f>(I64+I65)/2</f>
        <v>185.6184569199971</v>
      </c>
    </row>
    <row r="69" spans="6:9" ht="12.75">
      <c r="F69" t="s">
        <v>96</v>
      </c>
      <c r="G69">
        <f>(G66+G67)/2</f>
        <v>196.5</v>
      </c>
      <c r="I69">
        <f>(I66+I67)/2</f>
        <v>196.5</v>
      </c>
    </row>
    <row r="70" spans="6:9" ht="15">
      <c r="F70" s="7" t="s">
        <v>97</v>
      </c>
      <c r="G70" s="7">
        <f>G69-G68</f>
        <v>13.01586963819932</v>
      </c>
      <c r="I70" s="7">
        <f>I69-I68</f>
        <v>10.8815430800029</v>
      </c>
    </row>
    <row r="71" spans="1:9" ht="12.75">
      <c r="A71" t="s">
        <v>63</v>
      </c>
      <c r="F71" t="s">
        <v>64</v>
      </c>
      <c r="G71">
        <f>EXP(-(1/G59)*(1-EXP((-G44*G59)/G58)))</f>
        <v>0.3676669783181385</v>
      </c>
      <c r="I71">
        <f>EXP(-(1/I59)*(1-EXP((-I44*I59)/I58)))</f>
        <v>0.3676669783181385</v>
      </c>
    </row>
    <row r="72" spans="6:9" ht="12.75">
      <c r="F72" t="s">
        <v>66</v>
      </c>
      <c r="G72">
        <f>1-G71</f>
        <v>0.6323330216818615</v>
      </c>
      <c r="I72">
        <f>1-I71</f>
        <v>0.6323330216818615</v>
      </c>
    </row>
    <row r="76" spans="1:9" ht="12.75">
      <c r="A76" s="6" t="s">
        <v>80</v>
      </c>
      <c r="I76" t="s">
        <v>107</v>
      </c>
    </row>
    <row r="78" spans="1:9" ht="13.5">
      <c r="A78" t="s">
        <v>72</v>
      </c>
      <c r="F78" s="5" t="s">
        <v>73</v>
      </c>
      <c r="G78">
        <f>300-80</f>
        <v>220</v>
      </c>
      <c r="I78">
        <f>300-80</f>
        <v>220</v>
      </c>
    </row>
    <row r="79" spans="1:9" ht="12.75">
      <c r="A79" t="s">
        <v>74</v>
      </c>
      <c r="F79" t="s">
        <v>83</v>
      </c>
      <c r="G79">
        <f>0.5/39.4</f>
        <v>0.012690355329949238</v>
      </c>
      <c r="H79" t="s">
        <v>81</v>
      </c>
      <c r="I79">
        <f>0.5/39.4</f>
        <v>0.012690355329949238</v>
      </c>
    </row>
    <row r="80" spans="1:9" ht="12.75">
      <c r="A80" t="s">
        <v>75</v>
      </c>
      <c r="F80" t="s">
        <v>84</v>
      </c>
      <c r="G80">
        <f>0.25/39.4</f>
        <v>0.006345177664974619</v>
      </c>
      <c r="H80" t="s">
        <v>81</v>
      </c>
      <c r="I80">
        <f>0.25/39.4</f>
        <v>0.006345177664974619</v>
      </c>
    </row>
    <row r="81" spans="1:9" ht="12.75">
      <c r="A81" t="s">
        <v>76</v>
      </c>
      <c r="F81" t="s">
        <v>77</v>
      </c>
      <c r="G81">
        <f>0.02/39.4</f>
        <v>0.0005076142131979696</v>
      </c>
      <c r="H81" t="s">
        <v>81</v>
      </c>
      <c r="I81">
        <f>0.035/39.4</f>
        <v>0.0008883248730964468</v>
      </c>
    </row>
    <row r="82" spans="1:9" ht="12.75">
      <c r="A82" t="s">
        <v>78</v>
      </c>
      <c r="F82" t="s">
        <v>51</v>
      </c>
      <c r="G82">
        <v>400</v>
      </c>
      <c r="H82" s="3" t="s">
        <v>35</v>
      </c>
      <c r="I82">
        <v>400</v>
      </c>
    </row>
    <row r="83" spans="1:9" ht="12.75">
      <c r="A83" t="s">
        <v>79</v>
      </c>
      <c r="F83" t="s">
        <v>30</v>
      </c>
      <c r="G83">
        <f>G33</f>
        <v>51.048325506042175</v>
      </c>
      <c r="H83" s="3" t="s">
        <v>19</v>
      </c>
      <c r="I83">
        <f>I33</f>
        <v>78.21235190159462</v>
      </c>
    </row>
    <row r="84" spans="1:9" ht="12.75">
      <c r="A84" t="s">
        <v>82</v>
      </c>
      <c r="F84" t="s">
        <v>81</v>
      </c>
      <c r="G84">
        <f>SQRT((2*G83)/(G82*G81))</f>
        <v>22.42378215722128</v>
      </c>
      <c r="I84">
        <f>SQRT((2*I83)/(I82*I81))</f>
        <v>20.98151112943702</v>
      </c>
    </row>
    <row r="85" spans="6:9" ht="12.75">
      <c r="F85" t="s">
        <v>85</v>
      </c>
      <c r="G85">
        <f>G84*G79</f>
        <v>0.2845657634165137</v>
      </c>
      <c r="I85">
        <f>I84*I79</f>
        <v>0.26626283159184033</v>
      </c>
    </row>
    <row r="86" spans="6:9" ht="12.75">
      <c r="F86" t="s">
        <v>86</v>
      </c>
      <c r="G86">
        <f>G84*G80</f>
        <v>0.14228288170825684</v>
      </c>
      <c r="I86">
        <f>I84*I80</f>
        <v>0.13313141579592017</v>
      </c>
    </row>
    <row r="88" spans="1:9" ht="12.75">
      <c r="A88" t="s">
        <v>90</v>
      </c>
      <c r="F88" t="s">
        <v>87</v>
      </c>
      <c r="G88">
        <f>2*PI()*G80*G81*G82*G84*G70*0.2080786</f>
        <v>0.49161700133037056</v>
      </c>
      <c r="H88" t="s">
        <v>106</v>
      </c>
      <c r="I88">
        <f>2*PI()*I80*I81*I82*I84*I70*0.146377087</f>
        <v>0.47343004813736755</v>
      </c>
    </row>
    <row r="89" spans="1:9" ht="15">
      <c r="A89" t="s">
        <v>98</v>
      </c>
      <c r="F89" s="7" t="s">
        <v>104</v>
      </c>
      <c r="G89" s="7">
        <f>G88*19351</f>
        <v>9513.280592744</v>
      </c>
      <c r="H89" t="s">
        <v>106</v>
      </c>
      <c r="I89" s="7">
        <f>I88*19351</f>
        <v>9161.344861506199</v>
      </c>
    </row>
    <row r="90" spans="1:9" ht="12.75">
      <c r="A90" t="s">
        <v>101</v>
      </c>
      <c r="F90" s="3" t="s">
        <v>102</v>
      </c>
      <c r="G90" s="3">
        <f>G83*0.979*G70</f>
        <v>650.485144684275</v>
      </c>
      <c r="H90" t="s">
        <v>106</v>
      </c>
      <c r="I90" s="3">
        <f>I83*0.979*I70</f>
        <v>833.1985839968319</v>
      </c>
    </row>
    <row r="91" spans="1:9" ht="12.75">
      <c r="A91" t="s">
        <v>103</v>
      </c>
      <c r="F91" s="3" t="s">
        <v>105</v>
      </c>
      <c r="G91" s="3">
        <f>G89+G90</f>
        <v>10163.765737428275</v>
      </c>
      <c r="H91" t="s">
        <v>106</v>
      </c>
      <c r="I91" s="3">
        <f>I89+I90</f>
        <v>9994.54344550303</v>
      </c>
    </row>
    <row r="92" spans="1:9" ht="12.75">
      <c r="A92" t="s">
        <v>99</v>
      </c>
      <c r="F92" s="3" t="s">
        <v>100</v>
      </c>
      <c r="G92" s="3">
        <v>11400</v>
      </c>
      <c r="H92" t="s">
        <v>106</v>
      </c>
      <c r="I92" s="3">
        <v>11400</v>
      </c>
    </row>
    <row r="95" spans="1:9" ht="12.75">
      <c r="A95" t="s">
        <v>90</v>
      </c>
      <c r="F95" t="s">
        <v>87</v>
      </c>
      <c r="G95">
        <f>2*PI()*G80*G81*G82*G84*2.5319*0.2080786</f>
        <v>0.09563134237418244</v>
      </c>
      <c r="H95">
        <f>(G95/2.5319)*19351</f>
        <v>730.898576674752</v>
      </c>
      <c r="I95">
        <f>2*PI()*I80*I81*I82*I84*2.5319*0.2080786</f>
        <v>0.15659078408306376</v>
      </c>
    </row>
    <row r="96" spans="6:9" ht="12.75">
      <c r="F96" t="s">
        <v>88</v>
      </c>
      <c r="G96">
        <f>G95*19351</f>
        <v>1850.5621062828045</v>
      </c>
      <c r="I96">
        <f>I95*19351</f>
        <v>3030.188262791367</v>
      </c>
    </row>
    <row r="98" spans="6:9" ht="12.75">
      <c r="F98" t="s">
        <v>89</v>
      </c>
      <c r="G98">
        <f>11400/H95</f>
        <v>15.597239293945117</v>
      </c>
      <c r="I98" t="e">
        <f>11400/J95</f>
        <v>#DIV/0!</v>
      </c>
    </row>
  </sheetData>
  <mergeCells count="1">
    <mergeCell ref="A1:K1"/>
  </mergeCells>
  <printOptions/>
  <pageMargins left="0.75" right="0.75" top="1" bottom="1" header="0.5" footer="0.5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cp:lastPrinted>2005-10-28T19:36:55Z</cp:lastPrinted>
  <dcterms:created xsi:type="dcterms:W3CDTF">2005-10-28T15:20:12Z</dcterms:created>
  <dcterms:modified xsi:type="dcterms:W3CDTF">2005-11-04T21:45:07Z</dcterms:modified>
  <cp:category/>
  <cp:version/>
  <cp:contentType/>
  <cp:contentStatus/>
</cp:coreProperties>
</file>